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6" windowHeight="11760"/>
  </bookViews>
  <sheets>
    <sheet name="NỢ NGUỒN TX QL ĐẾN 31 10 2024" sheetId="1" r:id="rId1"/>
  </sheets>
  <externalReferences>
    <externalReference r:id="rId2"/>
  </externalReferences>
  <definedNames>
    <definedName name="_xlnm.Print_Titles" localSheetId="0">'NỢ NGUỒN TX QL ĐẾN 31 10 2024'!$A:$AO,'NỢ NGUỒN TX QL ĐẾN 31 10 2024'!$6:$10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1" i="1" l="1"/>
  <c r="AG12" i="1"/>
  <c r="AF13" i="1"/>
  <c r="AF12" i="1" s="1"/>
  <c r="AG13" i="1"/>
  <c r="AI13" i="1"/>
  <c r="AI12" i="1" s="1"/>
  <c r="AM13" i="1"/>
  <c r="AM12" i="1" s="1"/>
  <c r="AJ14" i="1"/>
  <c r="AK14" i="1"/>
  <c r="AO14" i="1"/>
  <c r="AJ15" i="1"/>
  <c r="AN15" i="1" s="1"/>
  <c r="AK15" i="1"/>
  <c r="AO15" i="1" s="1"/>
  <c r="AJ16" i="1"/>
  <c r="AK16" i="1"/>
  <c r="AN16" i="1"/>
  <c r="AO16" i="1"/>
  <c r="AJ17" i="1"/>
  <c r="AK17" i="1"/>
  <c r="AN17" i="1"/>
  <c r="AO17" i="1"/>
  <c r="AJ18" i="1"/>
  <c r="AN18" i="1" s="1"/>
  <c r="AK18" i="1"/>
  <c r="AO18" i="1"/>
  <c r="AH19" i="1"/>
  <c r="AJ19" i="1"/>
  <c r="AN19" i="1" s="1"/>
  <c r="AK19" i="1"/>
  <c r="AO19" i="1" s="1"/>
  <c r="AL19" i="1"/>
  <c r="AH20" i="1"/>
  <c r="AJ20" i="1"/>
  <c r="AN20" i="1" s="1"/>
  <c r="AK20" i="1"/>
  <c r="AO20" i="1" s="1"/>
  <c r="AL20" i="1"/>
  <c r="AM21" i="1"/>
  <c r="AF22" i="1"/>
  <c r="AF21" i="1" s="1"/>
  <c r="AJ22" i="1"/>
  <c r="AJ21" i="1" s="1"/>
  <c r="AM22" i="1"/>
  <c r="AG23" i="1"/>
  <c r="AI23" i="1"/>
  <c r="AJ23" i="1"/>
  <c r="AN23" i="1" s="1"/>
  <c r="AK23" i="1"/>
  <c r="AG24" i="1"/>
  <c r="AI24" i="1"/>
  <c r="AI22" i="1" s="1"/>
  <c r="AJ24" i="1"/>
  <c r="AN24" i="1" s="1"/>
  <c r="AK24" i="1"/>
  <c r="AG25" i="1"/>
  <c r="AI25" i="1"/>
  <c r="AJ25" i="1"/>
  <c r="AN25" i="1" s="1"/>
  <c r="AK25" i="1"/>
  <c r="AK22" i="1" s="1"/>
  <c r="AK21" i="1" s="1"/>
  <c r="AN26" i="1"/>
  <c r="AO26" i="1"/>
  <c r="AN27" i="1"/>
  <c r="AF28" i="1"/>
  <c r="AG28" i="1"/>
  <c r="AI28" i="1"/>
  <c r="AJ28" i="1"/>
  <c r="AM28" i="1"/>
  <c r="AN28" i="1"/>
  <c r="AG29" i="1"/>
  <c r="AI29" i="1"/>
  <c r="AJ29" i="1"/>
  <c r="AK29" i="1"/>
  <c r="AK28" i="1" s="1"/>
  <c r="AN29" i="1"/>
  <c r="AF39" i="1"/>
  <c r="AG39" i="1"/>
  <c r="AI39" i="1"/>
  <c r="AM39" i="1"/>
  <c r="AH41" i="1"/>
  <c r="AJ41" i="1"/>
  <c r="AK41" i="1"/>
  <c r="AK39" i="1" s="1"/>
  <c r="AJ42" i="1"/>
  <c r="AK42" i="1"/>
  <c r="AH43" i="1"/>
  <c r="AJ43" i="1"/>
  <c r="AK43" i="1"/>
  <c r="AN43" i="1"/>
  <c r="AN39" i="1" s="1"/>
  <c r="AO43" i="1"/>
  <c r="AO39" i="1" s="1"/>
  <c r="AN44" i="1"/>
  <c r="AO44" i="1"/>
  <c r="AI45" i="1"/>
  <c r="AJ45" i="1"/>
  <c r="AG46" i="1"/>
  <c r="AG45" i="1" s="1"/>
  <c r="AI46" i="1"/>
  <c r="AJ46" i="1"/>
  <c r="AK46" i="1"/>
  <c r="AM46" i="1"/>
  <c r="AN46" i="1"/>
  <c r="AN45" i="1" s="1"/>
  <c r="AO46" i="1"/>
  <c r="AF47" i="1"/>
  <c r="AF46" i="1" s="1"/>
  <c r="AF45" i="1" s="1"/>
  <c r="AF48" i="1"/>
  <c r="AG48" i="1"/>
  <c r="AI48" i="1"/>
  <c r="AJ48" i="1"/>
  <c r="AK48" i="1"/>
  <c r="AJ72" i="1"/>
  <c r="AM72" i="1"/>
  <c r="AM48" i="1" s="1"/>
  <c r="AM45" i="1" s="1"/>
  <c r="AN72" i="1"/>
  <c r="AN48" i="1" s="1"/>
  <c r="AG73" i="1"/>
  <c r="AI73" i="1"/>
  <c r="AJ73" i="1"/>
  <c r="AK73" i="1"/>
  <c r="AM73" i="1"/>
  <c r="AN73" i="1"/>
  <c r="AH74" i="1"/>
  <c r="AH73" i="1" s="1"/>
  <c r="AN74" i="1"/>
  <c r="AO74" i="1"/>
  <c r="AO73" i="1" s="1"/>
  <c r="AG177" i="1"/>
  <c r="AI177" i="1"/>
  <c r="AI175" i="1" s="1"/>
  <c r="AM177" i="1"/>
  <c r="AM175" i="1" s="1"/>
  <c r="AJ178" i="1"/>
  <c r="AK178" i="1"/>
  <c r="AJ179" i="1"/>
  <c r="AK179" i="1"/>
  <c r="AJ180" i="1"/>
  <c r="AK180" i="1"/>
  <c r="AJ181" i="1"/>
  <c r="AK181" i="1"/>
  <c r="AJ182" i="1"/>
  <c r="AK182" i="1"/>
  <c r="AN182" i="1"/>
  <c r="AF184" i="1"/>
  <c r="AJ184" i="1"/>
  <c r="AK184" i="1"/>
  <c r="AN184" i="1"/>
  <c r="AJ185" i="1"/>
  <c r="AN185" i="1" s="1"/>
  <c r="AK185" i="1"/>
  <c r="AJ186" i="1"/>
  <c r="AJ187" i="1"/>
  <c r="AJ188" i="1"/>
  <c r="AF189" i="1"/>
  <c r="AJ189" i="1"/>
  <c r="AL189" i="1"/>
  <c r="AN189" i="1"/>
  <c r="AF195" i="1"/>
  <c r="AG195" i="1"/>
  <c r="AG175" i="1" s="1"/>
  <c r="AI195" i="1"/>
  <c r="AJ195" i="1"/>
  <c r="AK195" i="1"/>
  <c r="AN195" i="1"/>
  <c r="AH196" i="1"/>
  <c r="AH195" i="1" s="1"/>
  <c r="AL196" i="1"/>
  <c r="AM196" i="1"/>
  <c r="AM195" i="1" s="1"/>
  <c r="AJ198" i="1"/>
  <c r="AM198" i="1"/>
  <c r="AF199" i="1"/>
  <c r="AF198" i="1" s="1"/>
  <c r="AG199" i="1"/>
  <c r="AI199" i="1"/>
  <c r="AJ199" i="1"/>
  <c r="AM199" i="1"/>
  <c r="AO199" i="1"/>
  <c r="AO198" i="1" s="1"/>
  <c r="AH200" i="1"/>
  <c r="AI200" i="1"/>
  <c r="AJ200" i="1"/>
  <c r="AK200" i="1"/>
  <c r="AI201" i="1"/>
  <c r="AJ201" i="1"/>
  <c r="AK201" i="1"/>
  <c r="AK199" i="1" s="1"/>
  <c r="AK198" i="1" s="1"/>
  <c r="AI202" i="1"/>
  <c r="AJ202" i="1"/>
  <c r="AK202" i="1"/>
  <c r="AH203" i="1"/>
  <c r="AJ203" i="1"/>
  <c r="AK203" i="1"/>
  <c r="AL203" i="1"/>
  <c r="AJ204" i="1"/>
  <c r="AK204" i="1"/>
  <c r="AJ205" i="1"/>
  <c r="AK205" i="1"/>
  <c r="AH206" i="1"/>
  <c r="AL206" i="1" s="1"/>
  <c r="AJ206" i="1"/>
  <c r="AK206" i="1"/>
  <c r="AN206" i="1"/>
  <c r="AN199" i="1" s="1"/>
  <c r="AF207" i="1"/>
  <c r="AG207" i="1"/>
  <c r="AM207" i="1"/>
  <c r="AN207" i="1"/>
  <c r="AO207" i="1"/>
  <c r="AH212" i="1"/>
  <c r="AL212" i="1" s="1"/>
  <c r="AH216" i="1"/>
  <c r="AL216" i="1"/>
  <c r="AI221" i="1"/>
  <c r="AJ221" i="1"/>
  <c r="AJ207" i="1" s="1"/>
  <c r="AK221" i="1"/>
  <c r="AK207" i="1" s="1"/>
  <c r="AI222" i="1"/>
  <c r="AI207" i="1" s="1"/>
  <c r="AJ222" i="1"/>
  <c r="AK222" i="1"/>
  <c r="AF224" i="1"/>
  <c r="AM224" i="1"/>
  <c r="AG225" i="1"/>
  <c r="AG224" i="1" s="1"/>
  <c r="AG223" i="1" s="1"/>
  <c r="AI225" i="1"/>
  <c r="AK225" i="1"/>
  <c r="AI226" i="1"/>
  <c r="AI224" i="1" s="1"/>
  <c r="AI223" i="1" s="1"/>
  <c r="AK226" i="1"/>
  <c r="AI227" i="1"/>
  <c r="AJ227" i="1"/>
  <c r="AN227" i="1" s="1"/>
  <c r="AK227" i="1"/>
  <c r="AI228" i="1"/>
  <c r="AK228" i="1"/>
  <c r="AO228" i="1"/>
  <c r="AI229" i="1"/>
  <c r="AK229" i="1"/>
  <c r="AI230" i="1"/>
  <c r="AK230" i="1"/>
  <c r="AN230" i="1"/>
  <c r="AO230" i="1"/>
  <c r="AF231" i="1"/>
  <c r="AG231" i="1"/>
  <c r="AI231" i="1"/>
  <c r="AJ231" i="1"/>
  <c r="AK231" i="1"/>
  <c r="AN231" i="1"/>
  <c r="AO231" i="1"/>
  <c r="AH232" i="1"/>
  <c r="AM232" i="1"/>
  <c r="AH233" i="1"/>
  <c r="AL233" i="1"/>
  <c r="AM233" i="1"/>
  <c r="AM231" i="1" s="1"/>
  <c r="AF234" i="1"/>
  <c r="AK234" i="1"/>
  <c r="AF235" i="1"/>
  <c r="AG235" i="1"/>
  <c r="AI236" i="1"/>
  <c r="AJ236" i="1"/>
  <c r="AN236" i="1" s="1"/>
  <c r="AK236" i="1"/>
  <c r="AK235" i="1" s="1"/>
  <c r="AJ237" i="1"/>
  <c r="AK237" i="1"/>
  <c r="AO237" i="1"/>
  <c r="AJ238" i="1"/>
  <c r="AK238" i="1"/>
  <c r="AL238" i="1"/>
  <c r="AN238" i="1"/>
  <c r="AH239" i="1"/>
  <c r="AI239" i="1"/>
  <c r="AJ239" i="1"/>
  <c r="AN239" i="1"/>
  <c r="AL239" i="1" s="1"/>
  <c r="AJ240" i="1"/>
  <c r="AN240" i="1" s="1"/>
  <c r="AK240" i="1"/>
  <c r="AO240" i="1" s="1"/>
  <c r="AI241" i="1"/>
  <c r="AJ241" i="1"/>
  <c r="AN241" i="1"/>
  <c r="AL241" i="1" s="1"/>
  <c r="AO241" i="1"/>
  <c r="AJ242" i="1"/>
  <c r="AN242" i="1"/>
  <c r="AJ243" i="1"/>
  <c r="AN243" i="1"/>
  <c r="AO243" i="1"/>
  <c r="AJ244" i="1"/>
  <c r="AN244" i="1"/>
  <c r="AO244" i="1"/>
  <c r="AJ245" i="1"/>
  <c r="AO245" i="1"/>
  <c r="AF246" i="1"/>
  <c r="AG246" i="1"/>
  <c r="AG234" i="1" s="1"/>
  <c r="AJ246" i="1"/>
  <c r="AK246" i="1"/>
  <c r="AN246" i="1"/>
  <c r="AO246" i="1"/>
  <c r="AN247" i="1"/>
  <c r="AO247" i="1"/>
  <c r="AI248" i="1"/>
  <c r="AL248" i="1"/>
  <c r="AM248" i="1"/>
  <c r="AI249" i="1"/>
  <c r="AN249" i="1"/>
  <c r="AO249" i="1"/>
  <c r="AI250" i="1"/>
  <c r="AN250" i="1"/>
  <c r="AO250" i="1"/>
  <c r="AG252" i="1"/>
  <c r="AG251" i="1" s="1"/>
  <c r="AH253" i="1"/>
  <c r="AI253" i="1"/>
  <c r="AI252" i="1" s="1"/>
  <c r="AJ253" i="1"/>
  <c r="AK253" i="1"/>
  <c r="AO253" i="1"/>
  <c r="AO252" i="1" s="1"/>
  <c r="AG254" i="1"/>
  <c r="AI254" i="1"/>
  <c r="AJ254" i="1"/>
  <c r="AK254" i="1"/>
  <c r="AI255" i="1"/>
  <c r="AJ255" i="1"/>
  <c r="AN255" i="1" s="1"/>
  <c r="AK255" i="1"/>
  <c r="AI256" i="1"/>
  <c r="AJ256" i="1"/>
  <c r="AK256" i="1"/>
  <c r="AH257" i="1"/>
  <c r="AL257" i="1" s="1"/>
  <c r="AI257" i="1"/>
  <c r="AJ257" i="1"/>
  <c r="AN257" i="1" s="1"/>
  <c r="AK257" i="1"/>
  <c r="AO257" i="1"/>
  <c r="AF258" i="1"/>
  <c r="AF252" i="1" s="1"/>
  <c r="AF251" i="1" s="1"/>
  <c r="AI258" i="1"/>
  <c r="AJ258" i="1"/>
  <c r="AN258" i="1" s="1"/>
  <c r="AK258" i="1"/>
  <c r="AO258" i="1"/>
  <c r="AI259" i="1"/>
  <c r="AM259" i="1" s="1"/>
  <c r="AM252" i="1" s="1"/>
  <c r="AJ259" i="1"/>
  <c r="AN259" i="1" s="1"/>
  <c r="AK259" i="1"/>
  <c r="AI260" i="1"/>
  <c r="AJ260" i="1"/>
  <c r="AN260" i="1" s="1"/>
  <c r="AK260" i="1"/>
  <c r="AO260" i="1" s="1"/>
  <c r="AI261" i="1"/>
  <c r="AJ261" i="1"/>
  <c r="AK261" i="1"/>
  <c r="AN261" i="1"/>
  <c r="AF262" i="1"/>
  <c r="AG262" i="1"/>
  <c r="AK262" i="1"/>
  <c r="AM262" i="1"/>
  <c r="AI263" i="1"/>
  <c r="AJ263" i="1"/>
  <c r="AK263" i="1"/>
  <c r="AI264" i="1"/>
  <c r="AJ264" i="1"/>
  <c r="AK264" i="1"/>
  <c r="AN264" i="1"/>
  <c r="AI265" i="1"/>
  <c r="AJ265" i="1"/>
  <c r="AN265" i="1" s="1"/>
  <c r="AK265" i="1"/>
  <c r="AI266" i="1"/>
  <c r="AJ266" i="1"/>
  <c r="AN266" i="1" s="1"/>
  <c r="AK266" i="1"/>
  <c r="AI267" i="1"/>
  <c r="AJ267" i="1"/>
  <c r="AK267" i="1"/>
  <c r="AN267" i="1"/>
  <c r="AH268" i="1"/>
  <c r="AL268" i="1" s="1"/>
  <c r="AI268" i="1"/>
  <c r="AJ268" i="1"/>
  <c r="AK268" i="1"/>
  <c r="AI269" i="1"/>
  <c r="AH269" i="1" s="1"/>
  <c r="AL269" i="1" s="1"/>
  <c r="AJ269" i="1"/>
  <c r="AK269" i="1"/>
  <c r="AI270" i="1"/>
  <c r="AJ270" i="1"/>
  <c r="AH270" i="1" s="1"/>
  <c r="AK270" i="1"/>
  <c r="AL270" i="1"/>
  <c r="AI271" i="1"/>
  <c r="AH271" i="1" s="1"/>
  <c r="AL271" i="1" s="1"/>
  <c r="AJ271" i="1"/>
  <c r="AK271" i="1"/>
  <c r="AH272" i="1"/>
  <c r="AL272" i="1" s="1"/>
  <c r="AI272" i="1"/>
  <c r="AJ272" i="1"/>
  <c r="AK272" i="1"/>
  <c r="AI273" i="1"/>
  <c r="AJ273" i="1"/>
  <c r="AK273" i="1"/>
  <c r="AI274" i="1"/>
  <c r="AJ274" i="1"/>
  <c r="AN274" i="1" s="1"/>
  <c r="AK274" i="1"/>
  <c r="AI275" i="1"/>
  <c r="AH275" i="1" s="1"/>
  <c r="AL275" i="1" s="1"/>
  <c r="AJ275" i="1"/>
  <c r="AF277" i="1"/>
  <c r="AF276" i="1" s="1"/>
  <c r="AG277" i="1"/>
  <c r="AG276" i="1" s="1"/>
  <c r="AI277" i="1"/>
  <c r="AM277" i="1"/>
  <c r="AM276" i="1" s="1"/>
  <c r="AH278" i="1"/>
  <c r="AJ278" i="1"/>
  <c r="AK278" i="1"/>
  <c r="AJ279" i="1"/>
  <c r="AK279" i="1"/>
  <c r="AJ280" i="1"/>
  <c r="AK280" i="1"/>
  <c r="AJ281" i="1"/>
  <c r="AN281" i="1"/>
  <c r="AO281" i="1"/>
  <c r="AF282" i="1"/>
  <c r="AG282" i="1"/>
  <c r="AI282" i="1"/>
  <c r="AI276" i="1" s="1"/>
  <c r="AJ282" i="1"/>
  <c r="AK282" i="1"/>
  <c r="AM282" i="1"/>
  <c r="AN282" i="1"/>
  <c r="AO282" i="1"/>
  <c r="AF285" i="1"/>
  <c r="AF286" i="1"/>
  <c r="AG286" i="1"/>
  <c r="AG285" i="1" s="1"/>
  <c r="AI287" i="1"/>
  <c r="AI286" i="1" s="1"/>
  <c r="AJ287" i="1"/>
  <c r="AJ286" i="1" s="1"/>
  <c r="AJ285" i="1" s="1"/>
  <c r="AK287" i="1"/>
  <c r="AM287" i="1"/>
  <c r="AI288" i="1"/>
  <c r="AJ288" i="1"/>
  <c r="AK288" i="1"/>
  <c r="AM288" i="1"/>
  <c r="AI289" i="1"/>
  <c r="AJ289" i="1"/>
  <c r="AK289" i="1"/>
  <c r="AM289" i="1"/>
  <c r="AN289" i="1"/>
  <c r="AO289" i="1"/>
  <c r="AI290" i="1"/>
  <c r="AJ290" i="1"/>
  <c r="AK290" i="1"/>
  <c r="AM290" i="1"/>
  <c r="AN290" i="1"/>
  <c r="AO290" i="1"/>
  <c r="AI291" i="1"/>
  <c r="AJ291" i="1"/>
  <c r="AK291" i="1"/>
  <c r="AM291" i="1"/>
  <c r="AN291" i="1"/>
  <c r="AO291" i="1"/>
  <c r="AF292" i="1"/>
  <c r="AI292" i="1"/>
  <c r="AJ292" i="1"/>
  <c r="AK292" i="1"/>
  <c r="AO292" i="1" s="1"/>
  <c r="AL292" i="1"/>
  <c r="AM292" i="1"/>
  <c r="AN292" i="1"/>
  <c r="AI293" i="1"/>
  <c r="AJ293" i="1"/>
  <c r="AK293" i="1"/>
  <c r="AO293" i="1" s="1"/>
  <c r="AM293" i="1"/>
  <c r="AN293" i="1"/>
  <c r="AI294" i="1"/>
  <c r="AJ294" i="1"/>
  <c r="AK294" i="1"/>
  <c r="AM294" i="1"/>
  <c r="AN294" i="1"/>
  <c r="AO294" i="1"/>
  <c r="AF295" i="1"/>
  <c r="AI295" i="1"/>
  <c r="AJ295" i="1"/>
  <c r="AK295" i="1"/>
  <c r="AO295" i="1" s="1"/>
  <c r="AM295" i="1"/>
  <c r="AN295" i="1"/>
  <c r="AI296" i="1"/>
  <c r="AJ296" i="1"/>
  <c r="AK296" i="1"/>
  <c r="AO296" i="1" s="1"/>
  <c r="AM296" i="1"/>
  <c r="AN296" i="1"/>
  <c r="AI297" i="1"/>
  <c r="AJ297" i="1"/>
  <c r="AN297" i="1" s="1"/>
  <c r="AK297" i="1"/>
  <c r="AO297" i="1" s="1"/>
  <c r="AM297" i="1"/>
  <c r="AI298" i="1"/>
  <c r="AJ298" i="1"/>
  <c r="AN298" i="1" s="1"/>
  <c r="AK298" i="1"/>
  <c r="AM298" i="1"/>
  <c r="AI299" i="1"/>
  <c r="AJ299" i="1"/>
  <c r="AK299" i="1"/>
  <c r="AO299" i="1" s="1"/>
  <c r="AM299" i="1"/>
  <c r="AN299" i="1"/>
  <c r="AF300" i="1"/>
  <c r="AG300" i="1"/>
  <c r="AJ300" i="1"/>
  <c r="AK300" i="1"/>
  <c r="AH301" i="1"/>
  <c r="AI301" i="1"/>
  <c r="AJ301" i="1"/>
  <c r="AK301" i="1"/>
  <c r="AF302" i="1"/>
  <c r="AI302" i="1"/>
  <c r="AF303" i="1"/>
  <c r="AM303" i="1"/>
  <c r="AM302" i="1" s="1"/>
  <c r="AO303" i="1"/>
  <c r="AO302" i="1" s="1"/>
  <c r="AK304" i="1"/>
  <c r="AK305" i="1"/>
  <c r="AG306" i="1"/>
  <c r="AK306" i="1"/>
  <c r="AG307" i="1"/>
  <c r="AH307" i="1"/>
  <c r="AJ307" i="1"/>
  <c r="AK307" i="1"/>
  <c r="AG308" i="1"/>
  <c r="AJ308" i="1"/>
  <c r="AG309" i="1"/>
  <c r="AJ309" i="1"/>
  <c r="AG310" i="1"/>
  <c r="AG311" i="1"/>
  <c r="AG312" i="1"/>
  <c r="AN314" i="1"/>
  <c r="AN303" i="1" s="1"/>
  <c r="AN302" i="1" s="1"/>
  <c r="AH315" i="1"/>
  <c r="AN315" i="1"/>
  <c r="AN316" i="1"/>
  <c r="AI317" i="1"/>
  <c r="AI303" i="1" s="1"/>
  <c r="AJ317" i="1"/>
  <c r="AF318" i="1"/>
  <c r="AG318" i="1"/>
  <c r="AI318" i="1"/>
  <c r="AJ318" i="1"/>
  <c r="AK318" i="1"/>
  <c r="AL318" i="1"/>
  <c r="AM318" i="1"/>
  <c r="AN318" i="1"/>
  <c r="AO318" i="1"/>
  <c r="AH319" i="1"/>
  <c r="AH318" i="1" s="1"/>
  <c r="AL319" i="1"/>
  <c r="AF321" i="1"/>
  <c r="AG321" i="1"/>
  <c r="AK321" i="1"/>
  <c r="AO321" i="1"/>
  <c r="AI322" i="1"/>
  <c r="AJ322" i="1"/>
  <c r="AJ321" i="1" s="1"/>
  <c r="AK322" i="1"/>
  <c r="AM322" i="1"/>
  <c r="AM321" i="1" s="1"/>
  <c r="AM320" i="1" s="1"/>
  <c r="AI323" i="1"/>
  <c r="AJ323" i="1"/>
  <c r="AK323" i="1"/>
  <c r="AM323" i="1"/>
  <c r="AN323" i="1"/>
  <c r="AF324" i="1"/>
  <c r="AG324" i="1"/>
  <c r="AG320" i="1" s="1"/>
  <c r="AM324" i="1"/>
  <c r="AH325" i="1"/>
  <c r="AI325" i="1"/>
  <c r="AI324" i="1" s="1"/>
  <c r="AJ325" i="1"/>
  <c r="AK325" i="1"/>
  <c r="AN325" i="1"/>
  <c r="AO325" i="1"/>
  <c r="AI326" i="1"/>
  <c r="AJ326" i="1"/>
  <c r="AK326" i="1"/>
  <c r="AO326" i="1"/>
  <c r="AI327" i="1"/>
  <c r="AJ327" i="1"/>
  <c r="AN327" i="1" s="1"/>
  <c r="AK327" i="1"/>
  <c r="AI328" i="1"/>
  <c r="AJ328" i="1"/>
  <c r="AK328" i="1"/>
  <c r="AI329" i="1"/>
  <c r="AJ329" i="1"/>
  <c r="AK329" i="1"/>
  <c r="AN329" i="1"/>
  <c r="AO329" i="1"/>
  <c r="AI330" i="1"/>
  <c r="AJ330" i="1"/>
  <c r="AK330" i="1"/>
  <c r="AN330" i="1"/>
  <c r="AO330" i="1"/>
  <c r="AI331" i="1"/>
  <c r="AJ331" i="1"/>
  <c r="AN331" i="1" s="1"/>
  <c r="AK331" i="1"/>
  <c r="AO331" i="1"/>
  <c r="AI332" i="1"/>
  <c r="AJ332" i="1"/>
  <c r="AN332" i="1" s="1"/>
  <c r="AK332" i="1"/>
  <c r="AO332" i="1" s="1"/>
  <c r="AI333" i="1"/>
  <c r="AJ333" i="1"/>
  <c r="AN333" i="1" s="1"/>
  <c r="AK333" i="1"/>
  <c r="AO333" i="1" s="1"/>
  <c r="AF334" i="1"/>
  <c r="AG334" i="1"/>
  <c r="AH334" i="1"/>
  <c r="AI334" i="1"/>
  <c r="AM334" i="1"/>
  <c r="AN334" i="1"/>
  <c r="AO334" i="1"/>
  <c r="AI335" i="1"/>
  <c r="AJ335" i="1"/>
  <c r="AJ334" i="1" s="1"/>
  <c r="AK335" i="1"/>
  <c r="AK334" i="1" s="1"/>
  <c r="AF337" i="1"/>
  <c r="AF336" i="1" s="1"/>
  <c r="AG337" i="1"/>
  <c r="AG336" i="1" s="1"/>
  <c r="AG338" i="1"/>
  <c r="AI338" i="1"/>
  <c r="AJ338" i="1"/>
  <c r="AK338" i="1"/>
  <c r="AN338" i="1"/>
  <c r="AO338" i="1"/>
  <c r="AG339" i="1"/>
  <c r="AH339" i="1"/>
  <c r="AI339" i="1"/>
  <c r="AJ339" i="1"/>
  <c r="AK339" i="1"/>
  <c r="AN339" i="1"/>
  <c r="AO339" i="1"/>
  <c r="AG340" i="1"/>
  <c r="AI340" i="1"/>
  <c r="AJ340" i="1"/>
  <c r="AK340" i="1"/>
  <c r="AN340" i="1"/>
  <c r="AO340" i="1"/>
  <c r="AG341" i="1"/>
  <c r="AI341" i="1"/>
  <c r="AJ341" i="1"/>
  <c r="AK341" i="1"/>
  <c r="AN341" i="1"/>
  <c r="AI342" i="1"/>
  <c r="AJ342" i="1"/>
  <c r="AN342" i="1" s="1"/>
  <c r="AK342" i="1"/>
  <c r="AO342" i="1"/>
  <c r="AH343" i="1"/>
  <c r="AI343" i="1"/>
  <c r="AJ343" i="1"/>
  <c r="AN343" i="1" s="1"/>
  <c r="AK343" i="1"/>
  <c r="AO343" i="1" s="1"/>
  <c r="AG344" i="1"/>
  <c r="AI344" i="1"/>
  <c r="AM344" i="1" s="1"/>
  <c r="AM337" i="1" s="1"/>
  <c r="AM336" i="1" s="1"/>
  <c r="AJ344" i="1"/>
  <c r="AK344" i="1"/>
  <c r="AO344" i="1"/>
  <c r="AG345" i="1"/>
  <c r="AI345" i="1"/>
  <c r="AM345" i="1" s="1"/>
  <c r="AJ345" i="1"/>
  <c r="AK345" i="1"/>
  <c r="AN345" i="1"/>
  <c r="AO345" i="1"/>
  <c r="AI346" i="1"/>
  <c r="AJ346" i="1"/>
  <c r="AN346" i="1" s="1"/>
  <c r="AK346" i="1"/>
  <c r="AO346" i="1"/>
  <c r="AI347" i="1"/>
  <c r="AJ347" i="1"/>
  <c r="AN347" i="1" s="1"/>
  <c r="AK347" i="1"/>
  <c r="AO347" i="1" s="1"/>
  <c r="AF348" i="1"/>
  <c r="AI348" i="1"/>
  <c r="AJ348" i="1"/>
  <c r="AN348" i="1" s="1"/>
  <c r="AK348" i="1"/>
  <c r="AO348" i="1" s="1"/>
  <c r="AG349" i="1"/>
  <c r="AH349" i="1"/>
  <c r="AI349" i="1"/>
  <c r="AJ349" i="1"/>
  <c r="AN349" i="1" s="1"/>
  <c r="AK349" i="1"/>
  <c r="AO349" i="1"/>
  <c r="AG351" i="1"/>
  <c r="AG350" i="1" s="1"/>
  <c r="AK351" i="1"/>
  <c r="AO351" i="1"/>
  <c r="AO350" i="1" s="1"/>
  <c r="AF352" i="1"/>
  <c r="AF351" i="1" s="1"/>
  <c r="AF350" i="1" s="1"/>
  <c r="AJ352" i="1"/>
  <c r="AJ351" i="1" s="1"/>
  <c r="AN352" i="1"/>
  <c r="AF353" i="1"/>
  <c r="AJ353" i="1"/>
  <c r="AN353" i="1"/>
  <c r="AH354" i="1"/>
  <c r="AM354" i="1"/>
  <c r="AL354" i="1" s="1"/>
  <c r="AN354" i="1"/>
  <c r="AI355" i="1"/>
  <c r="AJ355" i="1"/>
  <c r="AF356" i="1"/>
  <c r="AG356" i="1"/>
  <c r="AO356" i="1"/>
  <c r="AG357" i="1"/>
  <c r="AJ357" i="1"/>
  <c r="AI358" i="1"/>
  <c r="AI356" i="1" s="1"/>
  <c r="AJ358" i="1"/>
  <c r="AF359" i="1"/>
  <c r="AH359" i="1"/>
  <c r="AJ359" i="1"/>
  <c r="AN359" i="1" s="1"/>
  <c r="AK359" i="1"/>
  <c r="AK356" i="1" s="1"/>
  <c r="AL359" i="1"/>
  <c r="AJ360" i="1"/>
  <c r="AN360" i="1"/>
  <c r="AF361" i="1"/>
  <c r="AJ361" i="1"/>
  <c r="AN361" i="1" s="1"/>
  <c r="AF362" i="1"/>
  <c r="AG362" i="1"/>
  <c r="AH362" i="1"/>
  <c r="AK362" i="1"/>
  <c r="AM362" i="1"/>
  <c r="AO362" i="1"/>
  <c r="AH363" i="1"/>
  <c r="AL363" i="1" s="1"/>
  <c r="AI365" i="1"/>
  <c r="AI362" i="1" s="1"/>
  <c r="AJ365" i="1"/>
  <c r="AL366" i="1"/>
  <c r="AN366" i="1" s="1"/>
  <c r="AK367" i="1"/>
  <c r="AF368" i="1"/>
  <c r="AF367" i="1" s="1"/>
  <c r="AG368" i="1"/>
  <c r="AG367" i="1" s="1"/>
  <c r="AI368" i="1"/>
  <c r="AI367" i="1" s="1"/>
  <c r="AK368" i="1"/>
  <c r="AM368" i="1"/>
  <c r="AM367" i="1" s="1"/>
  <c r="AO368" i="1"/>
  <c r="AO367" i="1" s="1"/>
  <c r="AG370" i="1"/>
  <c r="AL370" i="1"/>
  <c r="AN370" i="1"/>
  <c r="AN371" i="1"/>
  <c r="AH372" i="1"/>
  <c r="AJ372" i="1" s="1"/>
  <c r="AL372" i="1"/>
  <c r="AN372" i="1" s="1"/>
  <c r="Y372" i="1"/>
  <c r="U372" i="1" s="1"/>
  <c r="L372" i="1"/>
  <c r="G372" i="1"/>
  <c r="U371" i="1"/>
  <c r="R371" i="1"/>
  <c r="L371" i="1"/>
  <c r="P371" i="1" s="1"/>
  <c r="G371" i="1"/>
  <c r="U370" i="1"/>
  <c r="AH370" i="1" s="1"/>
  <c r="AJ370" i="1" s="1"/>
  <c r="R370" i="1"/>
  <c r="L370" i="1"/>
  <c r="P370" i="1" s="1"/>
  <c r="G370" i="1"/>
  <c r="U369" i="1"/>
  <c r="R369" i="1"/>
  <c r="L369" i="1"/>
  <c r="AH369" i="1" s="1"/>
  <c r="AE368" i="1"/>
  <c r="AE367" i="1" s="1"/>
  <c r="AC368" i="1"/>
  <c r="AC367" i="1" s="1"/>
  <c r="AA368" i="1"/>
  <c r="AA367" i="1" s="1"/>
  <c r="Z368" i="1"/>
  <c r="Y368" i="1"/>
  <c r="Y367" i="1" s="1"/>
  <c r="X368" i="1"/>
  <c r="X367" i="1" s="1"/>
  <c r="W368" i="1"/>
  <c r="W367" i="1" s="1"/>
  <c r="V368" i="1"/>
  <c r="V367" i="1" s="1"/>
  <c r="T368" i="1"/>
  <c r="T367" i="1" s="1"/>
  <c r="S368" i="1"/>
  <c r="S367" i="1" s="1"/>
  <c r="Q368" i="1"/>
  <c r="Q367" i="1" s="1"/>
  <c r="O368" i="1"/>
  <c r="O367" i="1" s="1"/>
  <c r="N368" i="1"/>
  <c r="N367" i="1" s="1"/>
  <c r="M368" i="1"/>
  <c r="M367" i="1" s="1"/>
  <c r="K368" i="1"/>
  <c r="J368" i="1"/>
  <c r="J367" i="1" s="1"/>
  <c r="I368" i="1"/>
  <c r="I367" i="1" s="1"/>
  <c r="H368" i="1"/>
  <c r="H367" i="1" s="1"/>
  <c r="Z367" i="1"/>
  <c r="K367" i="1"/>
  <c r="P366" i="1"/>
  <c r="Q365" i="1"/>
  <c r="L365" i="1"/>
  <c r="AH365" i="1" s="1"/>
  <c r="AL365" i="1" s="1"/>
  <c r="AN365" i="1" s="1"/>
  <c r="Y364" i="1"/>
  <c r="U364" i="1"/>
  <c r="AH364" i="1" s="1"/>
  <c r="P364" i="1"/>
  <c r="R364" i="1" s="1"/>
  <c r="U363" i="1"/>
  <c r="U362" i="1" s="1"/>
  <c r="L363" i="1"/>
  <c r="AE362" i="1"/>
  <c r="AC362" i="1"/>
  <c r="AA362" i="1"/>
  <c r="Z362" i="1"/>
  <c r="Y362" i="1"/>
  <c r="X362" i="1"/>
  <c r="W362" i="1"/>
  <c r="V362" i="1"/>
  <c r="T362" i="1"/>
  <c r="S362" i="1"/>
  <c r="Q362" i="1"/>
  <c r="O362" i="1"/>
  <c r="N362" i="1"/>
  <c r="M362" i="1"/>
  <c r="K362" i="1"/>
  <c r="J362" i="1"/>
  <c r="I362" i="1"/>
  <c r="H362" i="1"/>
  <c r="G362" i="1"/>
  <c r="AD361" i="1"/>
  <c r="U361" i="1"/>
  <c r="AB361" i="1" s="1"/>
  <c r="L361" i="1"/>
  <c r="G361" i="1"/>
  <c r="U360" i="1"/>
  <c r="R360" i="1"/>
  <c r="AD360" i="1" s="1"/>
  <c r="L360" i="1"/>
  <c r="G360" i="1"/>
  <c r="L359" i="1"/>
  <c r="G359" i="1"/>
  <c r="U358" i="1"/>
  <c r="R358" i="1"/>
  <c r="AD358" i="1" s="1"/>
  <c r="AN358" i="1" s="1"/>
  <c r="L358" i="1"/>
  <c r="P358" i="1" s="1"/>
  <c r="G358" i="1"/>
  <c r="U357" i="1"/>
  <c r="L357" i="1"/>
  <c r="G357" i="1"/>
  <c r="AE356" i="1"/>
  <c r="AA356" i="1"/>
  <c r="Z356" i="1"/>
  <c r="Y356" i="1"/>
  <c r="X356" i="1"/>
  <c r="W356" i="1"/>
  <c r="V356" i="1"/>
  <c r="T356" i="1"/>
  <c r="S356" i="1"/>
  <c r="O356" i="1"/>
  <c r="N356" i="1"/>
  <c r="N350" i="1" s="1"/>
  <c r="M356" i="1"/>
  <c r="K356" i="1"/>
  <c r="J356" i="1"/>
  <c r="I356" i="1"/>
  <c r="H356" i="1"/>
  <c r="AC355" i="1"/>
  <c r="U355" i="1"/>
  <c r="L355" i="1"/>
  <c r="G355" i="1"/>
  <c r="U354" i="1"/>
  <c r="P354" i="1"/>
  <c r="L354" i="1"/>
  <c r="G354" i="1"/>
  <c r="L353" i="1"/>
  <c r="P353" i="1" s="1"/>
  <c r="G353" i="1"/>
  <c r="W352" i="1"/>
  <c r="AI352" i="1" s="1"/>
  <c r="L352" i="1"/>
  <c r="G352" i="1"/>
  <c r="AE351" i="1"/>
  <c r="AA351" i="1"/>
  <c r="Z351" i="1"/>
  <c r="Y351" i="1"/>
  <c r="X351" i="1"/>
  <c r="X350" i="1" s="1"/>
  <c r="T351" i="1"/>
  <c r="T350" i="1" s="1"/>
  <c r="S351" i="1"/>
  <c r="O351" i="1"/>
  <c r="N351" i="1"/>
  <c r="M351" i="1"/>
  <c r="K351" i="1"/>
  <c r="J351" i="1"/>
  <c r="I351" i="1"/>
  <c r="H351" i="1"/>
  <c r="Y350" i="1"/>
  <c r="U349" i="1"/>
  <c r="L349" i="1"/>
  <c r="G349" i="1"/>
  <c r="AL349" i="1" s="1"/>
  <c r="U348" i="1"/>
  <c r="L348" i="1"/>
  <c r="AH348" i="1" s="1"/>
  <c r="G348" i="1"/>
  <c r="AD347" i="1"/>
  <c r="U347" i="1"/>
  <c r="L347" i="1"/>
  <c r="AH347" i="1" s="1"/>
  <c r="G347" i="1"/>
  <c r="U346" i="1"/>
  <c r="L346" i="1"/>
  <c r="AH346" i="1" s="1"/>
  <c r="G346" i="1"/>
  <c r="U345" i="1"/>
  <c r="L345" i="1"/>
  <c r="AH345" i="1" s="1"/>
  <c r="G345" i="1"/>
  <c r="S345" i="1" s="1"/>
  <c r="AE345" i="1" s="1"/>
  <c r="U344" i="1"/>
  <c r="L344" i="1"/>
  <c r="G344" i="1"/>
  <c r="U343" i="1"/>
  <c r="L343" i="1"/>
  <c r="P343" i="1" s="1"/>
  <c r="G343" i="1"/>
  <c r="U342" i="1"/>
  <c r="L342" i="1"/>
  <c r="P342" i="1" s="1"/>
  <c r="G342" i="1"/>
  <c r="AD341" i="1"/>
  <c r="U341" i="1"/>
  <c r="AH341" i="1" s="1"/>
  <c r="P341" i="1"/>
  <c r="L341" i="1"/>
  <c r="G341" i="1"/>
  <c r="AE340" i="1"/>
  <c r="AD340" i="1"/>
  <c r="U340" i="1"/>
  <c r="L340" i="1"/>
  <c r="G340" i="1"/>
  <c r="AE339" i="1"/>
  <c r="AD339" i="1"/>
  <c r="U339" i="1"/>
  <c r="L339" i="1"/>
  <c r="P339" i="1" s="1"/>
  <c r="G339" i="1"/>
  <c r="AE338" i="1"/>
  <c r="AD338" i="1"/>
  <c r="U338" i="1"/>
  <c r="AH338" i="1" s="1"/>
  <c r="P338" i="1"/>
  <c r="L338" i="1"/>
  <c r="G338" i="1"/>
  <c r="AC337" i="1"/>
  <c r="AC336" i="1" s="1"/>
  <c r="AA337" i="1"/>
  <c r="AA336" i="1" s="1"/>
  <c r="Z337" i="1"/>
  <c r="Z336" i="1" s="1"/>
  <c r="Y337" i="1"/>
  <c r="Y336" i="1" s="1"/>
  <c r="X337" i="1"/>
  <c r="X336" i="1" s="1"/>
  <c r="W337" i="1"/>
  <c r="W336" i="1" s="1"/>
  <c r="V337" i="1"/>
  <c r="V336" i="1" s="1"/>
  <c r="T337" i="1"/>
  <c r="T336" i="1" s="1"/>
  <c r="Q337" i="1"/>
  <c r="Q336" i="1" s="1"/>
  <c r="O337" i="1"/>
  <c r="N337" i="1"/>
  <c r="N336" i="1" s="1"/>
  <c r="M337" i="1"/>
  <c r="M336" i="1" s="1"/>
  <c r="K337" i="1"/>
  <c r="K336" i="1" s="1"/>
  <c r="J337" i="1"/>
  <c r="J336" i="1" s="1"/>
  <c r="I337" i="1"/>
  <c r="I336" i="1" s="1"/>
  <c r="H337" i="1"/>
  <c r="H336" i="1" s="1"/>
  <c r="O336" i="1"/>
  <c r="R335" i="1"/>
  <c r="R334" i="1" s="1"/>
  <c r="Q335" i="1"/>
  <c r="L335" i="1"/>
  <c r="AH335" i="1" s="1"/>
  <c r="AL335" i="1" s="1"/>
  <c r="AL334" i="1" s="1"/>
  <c r="AD334" i="1"/>
  <c r="AA334" i="1"/>
  <c r="Z334" i="1"/>
  <c r="Y334" i="1"/>
  <c r="X334" i="1"/>
  <c r="W334" i="1"/>
  <c r="V334" i="1"/>
  <c r="U334" i="1"/>
  <c r="T334" i="1"/>
  <c r="O334" i="1"/>
  <c r="N334" i="1"/>
  <c r="M334" i="1"/>
  <c r="K334" i="1"/>
  <c r="J334" i="1"/>
  <c r="I334" i="1"/>
  <c r="H334" i="1"/>
  <c r="G334" i="1"/>
  <c r="AE333" i="1"/>
  <c r="AD333" i="1"/>
  <c r="L333" i="1"/>
  <c r="P333" i="1" s="1"/>
  <c r="AB333" i="1" s="1"/>
  <c r="U332" i="1"/>
  <c r="AH332" i="1" s="1"/>
  <c r="AL332" i="1" s="1"/>
  <c r="S332" i="1"/>
  <c r="AE332" i="1" s="1"/>
  <c r="R332" i="1"/>
  <c r="AD332" i="1" s="1"/>
  <c r="L332" i="1"/>
  <c r="P332" i="1" s="1"/>
  <c r="U331" i="1"/>
  <c r="S331" i="1"/>
  <c r="AE331" i="1" s="1"/>
  <c r="R331" i="1"/>
  <c r="AD331" i="1" s="1"/>
  <c r="L331" i="1"/>
  <c r="P331" i="1" s="1"/>
  <c r="AE330" i="1"/>
  <c r="AD330" i="1"/>
  <c r="U330" i="1"/>
  <c r="L330" i="1"/>
  <c r="AH330" i="1" s="1"/>
  <c r="AL330" i="1" s="1"/>
  <c r="U329" i="1"/>
  <c r="S329" i="1"/>
  <c r="AE329" i="1" s="1"/>
  <c r="R329" i="1"/>
  <c r="AD329" i="1" s="1"/>
  <c r="L329" i="1"/>
  <c r="AH329" i="1" s="1"/>
  <c r="AL329" i="1" s="1"/>
  <c r="U328" i="1"/>
  <c r="L328" i="1"/>
  <c r="G328" i="1"/>
  <c r="R328" i="1" s="1"/>
  <c r="AD328" i="1" s="1"/>
  <c r="U327" i="1"/>
  <c r="S327" i="1"/>
  <c r="AE327" i="1" s="1"/>
  <c r="R327" i="1"/>
  <c r="AD327" i="1" s="1"/>
  <c r="L327" i="1"/>
  <c r="P327" i="1" s="1"/>
  <c r="AB327" i="1" s="1"/>
  <c r="U326" i="1"/>
  <c r="AH326" i="1" s="1"/>
  <c r="AL326" i="1" s="1"/>
  <c r="S326" i="1"/>
  <c r="R326" i="1"/>
  <c r="AD326" i="1" s="1"/>
  <c r="L326" i="1"/>
  <c r="P326" i="1" s="1"/>
  <c r="U325" i="1"/>
  <c r="S325" i="1"/>
  <c r="AE325" i="1" s="1"/>
  <c r="R325" i="1"/>
  <c r="L325" i="1"/>
  <c r="P325" i="1" s="1"/>
  <c r="AC324" i="1"/>
  <c r="AA324" i="1"/>
  <c r="Z324" i="1"/>
  <c r="Z320" i="1" s="1"/>
  <c r="Y324" i="1"/>
  <c r="X324" i="1"/>
  <c r="W324" i="1"/>
  <c r="V324" i="1"/>
  <c r="T324" i="1"/>
  <c r="Q324" i="1"/>
  <c r="O324" i="1"/>
  <c r="O320" i="1" s="1"/>
  <c r="N324" i="1"/>
  <c r="M324" i="1"/>
  <c r="K324" i="1"/>
  <c r="J324" i="1"/>
  <c r="I324" i="1"/>
  <c r="H324" i="1"/>
  <c r="AD323" i="1"/>
  <c r="U323" i="1"/>
  <c r="U321" i="1" s="1"/>
  <c r="L323" i="1"/>
  <c r="Q322" i="1"/>
  <c r="AC322" i="1" s="1"/>
  <c r="L322" i="1"/>
  <c r="AE321" i="1"/>
  <c r="AA321" i="1"/>
  <c r="Z321" i="1"/>
  <c r="Y321" i="1"/>
  <c r="X321" i="1"/>
  <c r="W321" i="1"/>
  <c r="V321" i="1"/>
  <c r="T321" i="1"/>
  <c r="S321" i="1"/>
  <c r="O321" i="1"/>
  <c r="N321" i="1"/>
  <c r="M321" i="1"/>
  <c r="K321" i="1"/>
  <c r="K320" i="1" s="1"/>
  <c r="J321" i="1"/>
  <c r="I321" i="1"/>
  <c r="H321" i="1"/>
  <c r="G321" i="1"/>
  <c r="AB319" i="1"/>
  <c r="AB318" i="1" s="1"/>
  <c r="U319" i="1"/>
  <c r="U318" i="1" s="1"/>
  <c r="P319" i="1"/>
  <c r="P318" i="1" s="1"/>
  <c r="L319" i="1"/>
  <c r="L318" i="1" s="1"/>
  <c r="G319" i="1"/>
  <c r="AE318" i="1"/>
  <c r="AD318" i="1"/>
  <c r="AC318" i="1"/>
  <c r="AA318" i="1"/>
  <c r="Z318" i="1"/>
  <c r="Y318" i="1"/>
  <c r="X318" i="1"/>
  <c r="W318" i="1"/>
  <c r="V318" i="1"/>
  <c r="T318" i="1"/>
  <c r="S318" i="1"/>
  <c r="R318" i="1"/>
  <c r="Q318" i="1"/>
  <c r="O318" i="1"/>
  <c r="O302" i="1" s="1"/>
  <c r="N318" i="1"/>
  <c r="M318" i="1"/>
  <c r="K318" i="1"/>
  <c r="J318" i="1"/>
  <c r="I318" i="1"/>
  <c r="H318" i="1"/>
  <c r="G318" i="1"/>
  <c r="U317" i="1"/>
  <c r="R317" i="1"/>
  <c r="AD317" i="1" s="1"/>
  <c r="Q317" i="1"/>
  <c r="L317" i="1"/>
  <c r="G317" i="1"/>
  <c r="U316" i="1"/>
  <c r="P316" i="1"/>
  <c r="L316" i="1"/>
  <c r="AH316" i="1" s="1"/>
  <c r="G316" i="1"/>
  <c r="AL316" i="1" s="1"/>
  <c r="U315" i="1"/>
  <c r="P315" i="1"/>
  <c r="L315" i="1"/>
  <c r="G315" i="1"/>
  <c r="AD314" i="1"/>
  <c r="U314" i="1"/>
  <c r="P314" i="1"/>
  <c r="L314" i="1"/>
  <c r="AH314" i="1" s="1"/>
  <c r="G314" i="1"/>
  <c r="U313" i="1"/>
  <c r="L313" i="1"/>
  <c r="G313" i="1"/>
  <c r="AD312" i="1"/>
  <c r="U312" i="1"/>
  <c r="L312" i="1"/>
  <c r="G312" i="1"/>
  <c r="U311" i="1"/>
  <c r="N311" i="1"/>
  <c r="G311" i="1"/>
  <c r="U310" i="1"/>
  <c r="S310" i="1"/>
  <c r="R310" i="1"/>
  <c r="AD310" i="1" s="1"/>
  <c r="Q310" i="1"/>
  <c r="L310" i="1"/>
  <c r="AH310" i="1" s="1"/>
  <c r="AL310" i="1" s="1"/>
  <c r="G310" i="1"/>
  <c r="AD309" i="1"/>
  <c r="U309" i="1"/>
  <c r="L309" i="1"/>
  <c r="G309" i="1"/>
  <c r="U308" i="1"/>
  <c r="S308" i="1"/>
  <c r="R308" i="1"/>
  <c r="L308" i="1"/>
  <c r="G308" i="1"/>
  <c r="AD307" i="1"/>
  <c r="U307" i="1"/>
  <c r="L307" i="1"/>
  <c r="P307" i="1" s="1"/>
  <c r="G307" i="1"/>
  <c r="AD306" i="1"/>
  <c r="U306" i="1"/>
  <c r="N306" i="1"/>
  <c r="G306" i="1"/>
  <c r="AD305" i="1"/>
  <c r="U305" i="1"/>
  <c r="N305" i="1"/>
  <c r="AJ305" i="1" s="1"/>
  <c r="G305" i="1"/>
  <c r="U304" i="1"/>
  <c r="S304" i="1"/>
  <c r="N304" i="1"/>
  <c r="G304" i="1"/>
  <c r="AA303" i="1"/>
  <c r="Z303" i="1"/>
  <c r="Y303" i="1"/>
  <c r="X303" i="1"/>
  <c r="W303" i="1"/>
  <c r="V303" i="1"/>
  <c r="V302" i="1" s="1"/>
  <c r="T303" i="1"/>
  <c r="T302" i="1" s="1"/>
  <c r="O303" i="1"/>
  <c r="M303" i="1"/>
  <c r="M302" i="1" s="1"/>
  <c r="K303" i="1"/>
  <c r="J303" i="1"/>
  <c r="I303" i="1"/>
  <c r="H303" i="1"/>
  <c r="AA302" i="1"/>
  <c r="U301" i="1"/>
  <c r="U300" i="1" s="1"/>
  <c r="Q301" i="1"/>
  <c r="Q300" i="1" s="1"/>
  <c r="L301" i="1"/>
  <c r="G301" i="1"/>
  <c r="AC300" i="1"/>
  <c r="AA300" i="1"/>
  <c r="Z300" i="1"/>
  <c r="Y300" i="1"/>
  <c r="X300" i="1"/>
  <c r="W300" i="1"/>
  <c r="W285" i="1" s="1"/>
  <c r="V300" i="1"/>
  <c r="T300" i="1"/>
  <c r="O300" i="1"/>
  <c r="N300" i="1"/>
  <c r="M300" i="1"/>
  <c r="K300" i="1"/>
  <c r="J300" i="1"/>
  <c r="I300" i="1"/>
  <c r="H300" i="1"/>
  <c r="U299" i="1"/>
  <c r="S299" i="1"/>
  <c r="AE299" i="1" s="1"/>
  <c r="R299" i="1"/>
  <c r="AD299" i="1" s="1"/>
  <c r="L299" i="1"/>
  <c r="AH299" i="1" s="1"/>
  <c r="AL299" i="1" s="1"/>
  <c r="U298" i="1"/>
  <c r="R298" i="1"/>
  <c r="AD298" i="1" s="1"/>
  <c r="L298" i="1"/>
  <c r="AH298" i="1" s="1"/>
  <c r="AL298" i="1" s="1"/>
  <c r="J298" i="1"/>
  <c r="U297" i="1"/>
  <c r="S297" i="1"/>
  <c r="AE297" i="1" s="1"/>
  <c r="R297" i="1"/>
  <c r="AD297" i="1" s="1"/>
  <c r="P297" i="1"/>
  <c r="L297" i="1"/>
  <c r="U296" i="1"/>
  <c r="L296" i="1"/>
  <c r="G296" i="1"/>
  <c r="AD295" i="1"/>
  <c r="U295" i="1"/>
  <c r="L295" i="1"/>
  <c r="U294" i="1"/>
  <c r="L294" i="1"/>
  <c r="G294" i="1"/>
  <c r="S294" i="1" s="1"/>
  <c r="U293" i="1"/>
  <c r="S293" i="1"/>
  <c r="AE293" i="1" s="1"/>
  <c r="R293" i="1"/>
  <c r="AD293" i="1" s="1"/>
  <c r="L293" i="1"/>
  <c r="U292" i="1"/>
  <c r="L292" i="1"/>
  <c r="AH292" i="1" s="1"/>
  <c r="G292" i="1"/>
  <c r="U291" i="1"/>
  <c r="L291" i="1"/>
  <c r="AH291" i="1" s="1"/>
  <c r="G291" i="1"/>
  <c r="R291" i="1" s="1"/>
  <c r="AD291" i="1" s="1"/>
  <c r="U290" i="1"/>
  <c r="L290" i="1"/>
  <c r="G290" i="1"/>
  <c r="S290" i="1" s="1"/>
  <c r="AE290" i="1" s="1"/>
  <c r="U289" i="1"/>
  <c r="L289" i="1"/>
  <c r="G289" i="1"/>
  <c r="U288" i="1"/>
  <c r="L288" i="1"/>
  <c r="G288" i="1"/>
  <c r="U287" i="1"/>
  <c r="L287" i="1"/>
  <c r="G287" i="1"/>
  <c r="AN287" i="1" s="1"/>
  <c r="AN286" i="1" s="1"/>
  <c r="AC286" i="1"/>
  <c r="AA286" i="1"/>
  <c r="Z286" i="1"/>
  <c r="Y286" i="1"/>
  <c r="Y285" i="1" s="1"/>
  <c r="X286" i="1"/>
  <c r="X285" i="1" s="1"/>
  <c r="W286" i="1"/>
  <c r="V286" i="1"/>
  <c r="T286" i="1"/>
  <c r="Q286" i="1"/>
  <c r="Q285" i="1" s="1"/>
  <c r="O286" i="1"/>
  <c r="N286" i="1"/>
  <c r="M286" i="1"/>
  <c r="K286" i="1"/>
  <c r="I286" i="1"/>
  <c r="H286" i="1"/>
  <c r="I285" i="1"/>
  <c r="U283" i="1"/>
  <c r="U282" i="1" s="1"/>
  <c r="L283" i="1"/>
  <c r="J283" i="1"/>
  <c r="J282" i="1" s="1"/>
  <c r="AE282" i="1"/>
  <c r="AD282" i="1"/>
  <c r="AC282" i="1"/>
  <c r="AA282" i="1"/>
  <c r="Z282" i="1"/>
  <c r="Y282" i="1"/>
  <c r="X282" i="1"/>
  <c r="X276" i="1" s="1"/>
  <c r="W282" i="1"/>
  <c r="W276" i="1" s="1"/>
  <c r="V282" i="1"/>
  <c r="V276" i="1" s="1"/>
  <c r="T282" i="1"/>
  <c r="S282" i="1"/>
  <c r="R282" i="1"/>
  <c r="Q282" i="1"/>
  <c r="O282" i="1"/>
  <c r="N282" i="1"/>
  <c r="M282" i="1"/>
  <c r="K282" i="1"/>
  <c r="I282" i="1"/>
  <c r="H282" i="1"/>
  <c r="G282" i="1"/>
  <c r="AD281" i="1"/>
  <c r="U281" i="1"/>
  <c r="L281" i="1"/>
  <c r="U280" i="1"/>
  <c r="AH280" i="1" s="1"/>
  <c r="AL280" i="1" s="1"/>
  <c r="R280" i="1"/>
  <c r="R277" i="1" s="1"/>
  <c r="L280" i="1"/>
  <c r="P280" i="1" s="1"/>
  <c r="AD279" i="1"/>
  <c r="U279" i="1"/>
  <c r="L279" i="1"/>
  <c r="AH279" i="1" s="1"/>
  <c r="AL279" i="1" s="1"/>
  <c r="AD278" i="1"/>
  <c r="U278" i="1"/>
  <c r="L278" i="1"/>
  <c r="P278" i="1" s="1"/>
  <c r="AB278" i="1" s="1"/>
  <c r="AC277" i="1"/>
  <c r="AA277" i="1"/>
  <c r="Z277" i="1"/>
  <c r="Y277" i="1"/>
  <c r="X277" i="1"/>
  <c r="W277" i="1"/>
  <c r="V277" i="1"/>
  <c r="T277" i="1"/>
  <c r="T276" i="1" s="1"/>
  <c r="Q277" i="1"/>
  <c r="O277" i="1"/>
  <c r="N277" i="1"/>
  <c r="M277" i="1"/>
  <c r="K277" i="1"/>
  <c r="J277" i="1"/>
  <c r="I277" i="1"/>
  <c r="H277" i="1"/>
  <c r="H276" i="1" s="1"/>
  <c r="G277" i="1"/>
  <c r="L275" i="1"/>
  <c r="I275" i="1"/>
  <c r="R274" i="1"/>
  <c r="L274" i="1"/>
  <c r="AE273" i="1"/>
  <c r="P273" i="1"/>
  <c r="AB273" i="1" s="1"/>
  <c r="L273" i="1"/>
  <c r="L272" i="1"/>
  <c r="S272" i="1" s="1"/>
  <c r="L271" i="1"/>
  <c r="S271" i="1" s="1"/>
  <c r="AE270" i="1"/>
  <c r="L270" i="1"/>
  <c r="P270" i="1" s="1"/>
  <c r="AB270" i="1" s="1"/>
  <c r="L269" i="1"/>
  <c r="S269" i="1" s="1"/>
  <c r="P268" i="1"/>
  <c r="AB268" i="1" s="1"/>
  <c r="L268" i="1"/>
  <c r="U267" i="1"/>
  <c r="R267" i="1"/>
  <c r="L267" i="1"/>
  <c r="U266" i="1"/>
  <c r="R266" i="1"/>
  <c r="L266" i="1"/>
  <c r="U265" i="1"/>
  <c r="R265" i="1"/>
  <c r="L265" i="1"/>
  <c r="S265" i="1" s="1"/>
  <c r="AC264" i="1"/>
  <c r="AC262" i="1" s="1"/>
  <c r="R264" i="1"/>
  <c r="AD264" i="1" s="1"/>
  <c r="L264" i="1"/>
  <c r="AE263" i="1"/>
  <c r="AD263" i="1"/>
  <c r="AC263" i="1"/>
  <c r="U263" i="1"/>
  <c r="L263" i="1"/>
  <c r="AA262" i="1"/>
  <c r="Z262" i="1"/>
  <c r="Y262" i="1"/>
  <c r="X262" i="1"/>
  <c r="W262" i="1"/>
  <c r="V262" i="1"/>
  <c r="T262" i="1"/>
  <c r="Q262" i="1"/>
  <c r="O262" i="1"/>
  <c r="N262" i="1"/>
  <c r="M262" i="1"/>
  <c r="K262" i="1"/>
  <c r="J262" i="1"/>
  <c r="H262" i="1"/>
  <c r="G262" i="1"/>
  <c r="U261" i="1"/>
  <c r="P261" i="1"/>
  <c r="L261" i="1"/>
  <c r="AE260" i="1"/>
  <c r="AD260" i="1"/>
  <c r="U260" i="1"/>
  <c r="L260" i="1"/>
  <c r="AH260" i="1" s="1"/>
  <c r="AL260" i="1" s="1"/>
  <c r="U259" i="1"/>
  <c r="R259" i="1"/>
  <c r="Q259" i="1"/>
  <c r="L259" i="1"/>
  <c r="U258" i="1"/>
  <c r="L258" i="1"/>
  <c r="AH258" i="1" s="1"/>
  <c r="AL258" i="1" s="1"/>
  <c r="U257" i="1"/>
  <c r="L257" i="1"/>
  <c r="P257" i="1" s="1"/>
  <c r="AD256" i="1"/>
  <c r="U256" i="1"/>
  <c r="L256" i="1"/>
  <c r="AE255" i="1"/>
  <c r="AD255" i="1"/>
  <c r="AC255" i="1"/>
  <c r="U255" i="1"/>
  <c r="L255" i="1"/>
  <c r="AE254" i="1"/>
  <c r="AD254" i="1"/>
  <c r="AC254" i="1"/>
  <c r="U254" i="1"/>
  <c r="L254" i="1"/>
  <c r="AH254" i="1" s="1"/>
  <c r="AE253" i="1"/>
  <c r="AC253" i="1"/>
  <c r="U253" i="1"/>
  <c r="R253" i="1"/>
  <c r="AD253" i="1" s="1"/>
  <c r="L253" i="1"/>
  <c r="AA252" i="1"/>
  <c r="Z252" i="1"/>
  <c r="Y252" i="1"/>
  <c r="X252" i="1"/>
  <c r="W252" i="1"/>
  <c r="V252" i="1"/>
  <c r="V251" i="1" s="1"/>
  <c r="T252" i="1"/>
  <c r="T251" i="1" s="1"/>
  <c r="Q252" i="1"/>
  <c r="O252" i="1"/>
  <c r="N252" i="1"/>
  <c r="M252" i="1"/>
  <c r="M251" i="1" s="1"/>
  <c r="K252" i="1"/>
  <c r="J252" i="1"/>
  <c r="I252" i="1"/>
  <c r="H252" i="1"/>
  <c r="H251" i="1" s="1"/>
  <c r="G252" i="1"/>
  <c r="AE250" i="1"/>
  <c r="AE246" i="1" s="1"/>
  <c r="AD250" i="1"/>
  <c r="AD246" i="1" s="1"/>
  <c r="AC250" i="1"/>
  <c r="L250" i="1"/>
  <c r="AH250" i="1" s="1"/>
  <c r="AL250" i="1" s="1"/>
  <c r="G250" i="1"/>
  <c r="L249" i="1"/>
  <c r="AH249" i="1" s="1"/>
  <c r="AL249" i="1" s="1"/>
  <c r="L248" i="1"/>
  <c r="AH248" i="1" s="1"/>
  <c r="G248" i="1"/>
  <c r="M247" i="1"/>
  <c r="AI247" i="1" s="1"/>
  <c r="AI246" i="1" s="1"/>
  <c r="G247" i="1"/>
  <c r="AA246" i="1"/>
  <c r="Z246" i="1"/>
  <c r="Y246" i="1"/>
  <c r="X246" i="1"/>
  <c r="W246" i="1"/>
  <c r="V246" i="1"/>
  <c r="U246" i="1"/>
  <c r="T246" i="1"/>
  <c r="S246" i="1"/>
  <c r="R246" i="1"/>
  <c r="Q246" i="1"/>
  <c r="P246" i="1"/>
  <c r="O246" i="1"/>
  <c r="N246" i="1"/>
  <c r="K246" i="1"/>
  <c r="J246" i="1"/>
  <c r="I246" i="1"/>
  <c r="H246" i="1"/>
  <c r="L245" i="1"/>
  <c r="AH245" i="1" s="1"/>
  <c r="S244" i="1"/>
  <c r="R244" i="1"/>
  <c r="AD244" i="1" s="1"/>
  <c r="L244" i="1"/>
  <c r="R243" i="1"/>
  <c r="AD243" i="1" s="1"/>
  <c r="L243" i="1"/>
  <c r="G243" i="1"/>
  <c r="G235" i="1" s="1"/>
  <c r="R242" i="1"/>
  <c r="AD242" i="1" s="1"/>
  <c r="P242" i="1"/>
  <c r="AB242" i="1" s="1"/>
  <c r="L242" i="1"/>
  <c r="AH242" i="1" s="1"/>
  <c r="AL242" i="1" s="1"/>
  <c r="G242" i="1"/>
  <c r="U241" i="1"/>
  <c r="S241" i="1"/>
  <c r="L241" i="1"/>
  <c r="P241" i="1" s="1"/>
  <c r="R241" i="1" s="1"/>
  <c r="AD240" i="1"/>
  <c r="U240" i="1"/>
  <c r="AH240" i="1" s="1"/>
  <c r="AL240" i="1" s="1"/>
  <c r="S240" i="1"/>
  <c r="R240" i="1"/>
  <c r="L240" i="1"/>
  <c r="G240" i="1"/>
  <c r="K240" i="1" s="1"/>
  <c r="U239" i="1"/>
  <c r="R239" i="1"/>
  <c r="AD239" i="1" s="1"/>
  <c r="L239" i="1"/>
  <c r="P239" i="1" s="1"/>
  <c r="AD238" i="1"/>
  <c r="U238" i="1"/>
  <c r="AH238" i="1" s="1"/>
  <c r="R238" i="1"/>
  <c r="M238" i="1"/>
  <c r="L238" i="1"/>
  <c r="P238" i="1" s="1"/>
  <c r="U237" i="1"/>
  <c r="S237" i="1"/>
  <c r="M237" i="1"/>
  <c r="U236" i="1"/>
  <c r="AH236" i="1" s="1"/>
  <c r="R236" i="1"/>
  <c r="AD236" i="1" s="1"/>
  <c r="L236" i="1"/>
  <c r="P236" i="1" s="1"/>
  <c r="AA235" i="1"/>
  <c r="Z235" i="1"/>
  <c r="Y235" i="1"/>
  <c r="X235" i="1"/>
  <c r="X234" i="1" s="1"/>
  <c r="W235" i="1"/>
  <c r="V235" i="1"/>
  <c r="V234" i="1" s="1"/>
  <c r="T235" i="1"/>
  <c r="O235" i="1"/>
  <c r="N235" i="1"/>
  <c r="J235" i="1"/>
  <c r="I235" i="1"/>
  <c r="H235" i="1"/>
  <c r="T234" i="1"/>
  <c r="U233" i="1"/>
  <c r="L233" i="1"/>
  <c r="U232" i="1"/>
  <c r="L232" i="1"/>
  <c r="AE231" i="1"/>
  <c r="AD231" i="1"/>
  <c r="AC231" i="1"/>
  <c r="AB231" i="1"/>
  <c r="AA231" i="1"/>
  <c r="Z231" i="1"/>
  <c r="Y231" i="1"/>
  <c r="X231" i="1"/>
  <c r="W231" i="1"/>
  <c r="V231" i="1"/>
  <c r="T231" i="1"/>
  <c r="S231" i="1"/>
  <c r="R231" i="1"/>
  <c r="Q231" i="1"/>
  <c r="P231" i="1"/>
  <c r="O231" i="1"/>
  <c r="N231" i="1"/>
  <c r="M231" i="1"/>
  <c r="K231" i="1"/>
  <c r="J231" i="1"/>
  <c r="I231" i="1"/>
  <c r="H231" i="1"/>
  <c r="G231" i="1"/>
  <c r="X230" i="1"/>
  <c r="N230" i="1"/>
  <c r="J230" i="1"/>
  <c r="Y229" i="1"/>
  <c r="Y224" i="1" s="1"/>
  <c r="Y223" i="1" s="1"/>
  <c r="U229" i="1"/>
  <c r="N229" i="1"/>
  <c r="AJ229" i="1" s="1"/>
  <c r="AN229" i="1" s="1"/>
  <c r="J229" i="1"/>
  <c r="AO229" i="1" s="1"/>
  <c r="X228" i="1"/>
  <c r="U228" i="1" s="1"/>
  <c r="S228" i="1"/>
  <c r="AE228" i="1" s="1"/>
  <c r="N228" i="1"/>
  <c r="L228" i="1" s="1"/>
  <c r="X227" i="1"/>
  <c r="U227" i="1" s="1"/>
  <c r="N227" i="1"/>
  <c r="L227" i="1" s="1"/>
  <c r="J227" i="1"/>
  <c r="AO227" i="1" s="1"/>
  <c r="AO224" i="1" s="1"/>
  <c r="AO223" i="1" s="1"/>
  <c r="U226" i="1"/>
  <c r="N226" i="1"/>
  <c r="K226" i="1"/>
  <c r="J226" i="1"/>
  <c r="U225" i="1"/>
  <c r="R225" i="1"/>
  <c r="AD225" i="1" s="1"/>
  <c r="N225" i="1"/>
  <c r="J225" i="1"/>
  <c r="AC224" i="1"/>
  <c r="AA224" i="1"/>
  <c r="Z224" i="1"/>
  <c r="W224" i="1"/>
  <c r="V224" i="1"/>
  <c r="T224" i="1"/>
  <c r="T223" i="1" s="1"/>
  <c r="Q224" i="1"/>
  <c r="O224" i="1"/>
  <c r="M224" i="1"/>
  <c r="K224" i="1"/>
  <c r="I224" i="1"/>
  <c r="H224" i="1"/>
  <c r="G224" i="1"/>
  <c r="U222" i="1"/>
  <c r="L222" i="1"/>
  <c r="P222" i="1" s="1"/>
  <c r="G222" i="1"/>
  <c r="U221" i="1"/>
  <c r="L221" i="1"/>
  <c r="G221" i="1"/>
  <c r="L220" i="1"/>
  <c r="AH220" i="1" s="1"/>
  <c r="AL220" i="1" s="1"/>
  <c r="G220" i="1"/>
  <c r="L219" i="1"/>
  <c r="P219" i="1" s="1"/>
  <c r="AB219" i="1" s="1"/>
  <c r="G219" i="1"/>
  <c r="L218" i="1"/>
  <c r="G218" i="1"/>
  <c r="L217" i="1"/>
  <c r="AH217" i="1" s="1"/>
  <c r="AL217" i="1" s="1"/>
  <c r="G217" i="1"/>
  <c r="L216" i="1"/>
  <c r="G216" i="1"/>
  <c r="L215" i="1"/>
  <c r="G215" i="1"/>
  <c r="L214" i="1"/>
  <c r="G214" i="1"/>
  <c r="L213" i="1"/>
  <c r="G213" i="1"/>
  <c r="L212" i="1"/>
  <c r="G212" i="1"/>
  <c r="L211" i="1"/>
  <c r="P211" i="1" s="1"/>
  <c r="AB211" i="1" s="1"/>
  <c r="G211" i="1"/>
  <c r="L210" i="1"/>
  <c r="G210" i="1"/>
  <c r="L209" i="1"/>
  <c r="AH209" i="1" s="1"/>
  <c r="AL209" i="1" s="1"/>
  <c r="G209" i="1"/>
  <c r="L208" i="1"/>
  <c r="AH208" i="1" s="1"/>
  <c r="AL208" i="1" s="1"/>
  <c r="G208" i="1"/>
  <c r="AE207" i="1"/>
  <c r="AD207" i="1"/>
  <c r="AC207" i="1"/>
  <c r="AA207" i="1"/>
  <c r="Z207" i="1"/>
  <c r="Y207" i="1"/>
  <c r="X207" i="1"/>
  <c r="W207" i="1"/>
  <c r="V207" i="1"/>
  <c r="T207" i="1"/>
  <c r="S207" i="1"/>
  <c r="R207" i="1"/>
  <c r="Q207" i="1"/>
  <c r="O207" i="1"/>
  <c r="N207" i="1"/>
  <c r="M207" i="1"/>
  <c r="K207" i="1"/>
  <c r="J207" i="1"/>
  <c r="I207" i="1"/>
  <c r="H207" i="1"/>
  <c r="U206" i="1"/>
  <c r="L206" i="1"/>
  <c r="G206" i="1"/>
  <c r="U205" i="1"/>
  <c r="L205" i="1"/>
  <c r="G205" i="1"/>
  <c r="U204" i="1"/>
  <c r="L204" i="1"/>
  <c r="AH204" i="1" s="1"/>
  <c r="AL204" i="1" s="1"/>
  <c r="G204" i="1"/>
  <c r="U203" i="1"/>
  <c r="L203" i="1"/>
  <c r="P203" i="1" s="1"/>
  <c r="AB203" i="1" s="1"/>
  <c r="G203" i="1"/>
  <c r="U202" i="1"/>
  <c r="L202" i="1"/>
  <c r="AH202" i="1" s="1"/>
  <c r="AL202" i="1" s="1"/>
  <c r="G202" i="1"/>
  <c r="U201" i="1"/>
  <c r="L201" i="1"/>
  <c r="G201" i="1"/>
  <c r="U200" i="1"/>
  <c r="L200" i="1"/>
  <c r="P200" i="1" s="1"/>
  <c r="G200" i="1"/>
  <c r="AE199" i="1"/>
  <c r="AD199" i="1"/>
  <c r="AC199" i="1"/>
  <c r="AA199" i="1"/>
  <c r="Z199" i="1"/>
  <c r="Y199" i="1"/>
  <c r="X199" i="1"/>
  <c r="X198" i="1" s="1"/>
  <c r="W199" i="1"/>
  <c r="V199" i="1"/>
  <c r="T199" i="1"/>
  <c r="S199" i="1"/>
  <c r="Q199" i="1"/>
  <c r="Q198" i="1" s="1"/>
  <c r="O199" i="1"/>
  <c r="O198" i="1" s="1"/>
  <c r="N199" i="1"/>
  <c r="N198" i="1" s="1"/>
  <c r="M199" i="1"/>
  <c r="M198" i="1" s="1"/>
  <c r="K199" i="1"/>
  <c r="J199" i="1"/>
  <c r="I199" i="1"/>
  <c r="I198" i="1" s="1"/>
  <c r="H199" i="1"/>
  <c r="H198" i="1" s="1"/>
  <c r="F199" i="1"/>
  <c r="G197" i="1"/>
  <c r="U196" i="1"/>
  <c r="L196" i="1"/>
  <c r="L195" i="1" s="1"/>
  <c r="G196" i="1"/>
  <c r="G195" i="1" s="1"/>
  <c r="AE195" i="1"/>
  <c r="AD195" i="1"/>
  <c r="AC195" i="1"/>
  <c r="AA195" i="1"/>
  <c r="Z195" i="1"/>
  <c r="Y195" i="1"/>
  <c r="X195" i="1"/>
  <c r="W195" i="1"/>
  <c r="V195" i="1"/>
  <c r="T195" i="1"/>
  <c r="S195" i="1"/>
  <c r="R195" i="1"/>
  <c r="Q195" i="1"/>
  <c r="P195" i="1"/>
  <c r="O195" i="1"/>
  <c r="N195" i="1"/>
  <c r="M195" i="1"/>
  <c r="K195" i="1"/>
  <c r="J195" i="1"/>
  <c r="I195" i="1"/>
  <c r="H195" i="1"/>
  <c r="U194" i="1"/>
  <c r="G194" i="1"/>
  <c r="U193" i="1"/>
  <c r="G193" i="1"/>
  <c r="U192" i="1"/>
  <c r="G192" i="1"/>
  <c r="U191" i="1"/>
  <c r="G191" i="1"/>
  <c r="U190" i="1"/>
  <c r="J190" i="1"/>
  <c r="I190" i="1"/>
  <c r="H190" i="1"/>
  <c r="U189" i="1"/>
  <c r="L189" i="1"/>
  <c r="G189" i="1"/>
  <c r="U188" i="1"/>
  <c r="L188" i="1"/>
  <c r="P188" i="1" s="1"/>
  <c r="G188" i="1"/>
  <c r="U187" i="1"/>
  <c r="AH187" i="1" s="1"/>
  <c r="AL187" i="1" s="1"/>
  <c r="L187" i="1"/>
  <c r="P187" i="1" s="1"/>
  <c r="G187" i="1"/>
  <c r="U186" i="1"/>
  <c r="L186" i="1"/>
  <c r="P186" i="1" s="1"/>
  <c r="G186" i="1"/>
  <c r="U185" i="1"/>
  <c r="AH185" i="1" s="1"/>
  <c r="AL185" i="1" s="1"/>
  <c r="AO185" i="1" s="1"/>
  <c r="R185" i="1"/>
  <c r="AD185" i="1" s="1"/>
  <c r="L185" i="1"/>
  <c r="P185" i="1" s="1"/>
  <c r="G185" i="1"/>
  <c r="AE184" i="1"/>
  <c r="U184" i="1"/>
  <c r="L184" i="1"/>
  <c r="P184" i="1" s="1"/>
  <c r="G184" i="1"/>
  <c r="U183" i="1"/>
  <c r="L183" i="1"/>
  <c r="G183" i="1"/>
  <c r="U182" i="1"/>
  <c r="R182" i="1"/>
  <c r="AD182" i="1" s="1"/>
  <c r="L182" i="1"/>
  <c r="P182" i="1" s="1"/>
  <c r="G182" i="1"/>
  <c r="AE181" i="1"/>
  <c r="AD181" i="1"/>
  <c r="U181" i="1"/>
  <c r="AH181" i="1" s="1"/>
  <c r="AL181" i="1" s="1"/>
  <c r="R181" i="1"/>
  <c r="L181" i="1"/>
  <c r="P181" i="1" s="1"/>
  <c r="G181" i="1"/>
  <c r="U180" i="1"/>
  <c r="L180" i="1"/>
  <c r="P180" i="1" s="1"/>
  <c r="G180" i="1"/>
  <c r="U179" i="1"/>
  <c r="AH179" i="1" s="1"/>
  <c r="AL179" i="1" s="1"/>
  <c r="L179" i="1"/>
  <c r="P179" i="1" s="1"/>
  <c r="G179" i="1"/>
  <c r="U178" i="1"/>
  <c r="L178" i="1"/>
  <c r="G178" i="1"/>
  <c r="AC177" i="1"/>
  <c r="AA177" i="1"/>
  <c r="AA175" i="1" s="1"/>
  <c r="Z177" i="1"/>
  <c r="Y177" i="1"/>
  <c r="X177" i="1"/>
  <c r="W177" i="1"/>
  <c r="V177" i="1"/>
  <c r="T177" i="1"/>
  <c r="Q177" i="1"/>
  <c r="Q175" i="1" s="1"/>
  <c r="O177" i="1"/>
  <c r="N177" i="1"/>
  <c r="M177" i="1"/>
  <c r="K177" i="1"/>
  <c r="K175" i="1" s="1"/>
  <c r="J177" i="1"/>
  <c r="I177" i="1"/>
  <c r="I175" i="1" s="1"/>
  <c r="H177" i="1"/>
  <c r="H175" i="1" s="1"/>
  <c r="Y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J112" i="1"/>
  <c r="I112" i="1"/>
  <c r="H112" i="1"/>
  <c r="G111" i="1"/>
  <c r="G109" i="1" s="1"/>
  <c r="J109" i="1"/>
  <c r="I109" i="1"/>
  <c r="H109" i="1"/>
  <c r="G107" i="1"/>
  <c r="G75" i="1" s="1"/>
  <c r="J102" i="1"/>
  <c r="J101" i="1"/>
  <c r="J100" i="1"/>
  <c r="J99" i="1"/>
  <c r="J98" i="1"/>
  <c r="J97" i="1"/>
  <c r="J96" i="1"/>
  <c r="J95" i="1"/>
  <c r="J92" i="1"/>
  <c r="J90" i="1"/>
  <c r="J89" i="1"/>
  <c r="J88" i="1"/>
  <c r="J87" i="1"/>
  <c r="J86" i="1"/>
  <c r="J84" i="1"/>
  <c r="J83" i="1"/>
  <c r="J82" i="1"/>
  <c r="J81" i="1"/>
  <c r="J80" i="1"/>
  <c r="J79" i="1"/>
  <c r="J77" i="1"/>
  <c r="J76" i="1"/>
  <c r="I75" i="1"/>
  <c r="H75" i="1"/>
  <c r="U74" i="1"/>
  <c r="U73" i="1" s="1"/>
  <c r="T74" i="1"/>
  <c r="G74" i="1"/>
  <c r="AL74" i="1" s="1"/>
  <c r="AL73" i="1" s="1"/>
  <c r="AE73" i="1"/>
  <c r="AD73" i="1"/>
  <c r="AC73" i="1"/>
  <c r="AB73" i="1"/>
  <c r="AA73" i="1"/>
  <c r="Z73" i="1"/>
  <c r="Y73" i="1"/>
  <c r="X73" i="1"/>
  <c r="W73" i="1"/>
  <c r="V73" i="1"/>
  <c r="S73" i="1"/>
  <c r="R73" i="1"/>
  <c r="Q73" i="1"/>
  <c r="P73" i="1"/>
  <c r="O73" i="1"/>
  <c r="N73" i="1"/>
  <c r="M73" i="1"/>
  <c r="L73" i="1"/>
  <c r="K73" i="1"/>
  <c r="J73" i="1"/>
  <c r="I73" i="1"/>
  <c r="H73" i="1"/>
  <c r="U72" i="1"/>
  <c r="U48" i="1" s="1"/>
  <c r="L72" i="1"/>
  <c r="G72" i="1"/>
  <c r="G71" i="1"/>
  <c r="G70" i="1"/>
  <c r="G69" i="1"/>
  <c r="G68" i="1"/>
  <c r="G67" i="1"/>
  <c r="G66" i="1"/>
  <c r="G65" i="1"/>
  <c r="G64" i="1"/>
  <c r="G63" i="1"/>
  <c r="G62" i="1"/>
  <c r="G61" i="1"/>
  <c r="G60" i="1"/>
  <c r="G59" i="1"/>
  <c r="G58" i="1"/>
  <c r="G57" i="1"/>
  <c r="G56" i="1"/>
  <c r="G55" i="1"/>
  <c r="G54" i="1"/>
  <c r="G53" i="1"/>
  <c r="G52" i="1"/>
  <c r="G51" i="1"/>
  <c r="G50" i="1"/>
  <c r="G49" i="1"/>
  <c r="AE48" i="1"/>
  <c r="AD48" i="1"/>
  <c r="AC48" i="1"/>
  <c r="AB48" i="1"/>
  <c r="AA48" i="1"/>
  <c r="Z48" i="1"/>
  <c r="Y48" i="1"/>
  <c r="X48" i="1"/>
  <c r="W48" i="1"/>
  <c r="V48" i="1"/>
  <c r="T48" i="1"/>
  <c r="S48" i="1"/>
  <c r="R48" i="1"/>
  <c r="Q48" i="1"/>
  <c r="P48" i="1"/>
  <c r="O48" i="1"/>
  <c r="N48" i="1"/>
  <c r="M48" i="1"/>
  <c r="M45" i="1" s="1"/>
  <c r="K48" i="1"/>
  <c r="J48" i="1"/>
  <c r="I48" i="1"/>
  <c r="H48" i="1"/>
  <c r="U47" i="1"/>
  <c r="S47" i="1"/>
  <c r="S46" i="1" s="1"/>
  <c r="R47" i="1"/>
  <c r="R46" i="1" s="1"/>
  <c r="L47" i="1"/>
  <c r="G47" i="1"/>
  <c r="AE46" i="1"/>
  <c r="AD46" i="1"/>
  <c r="AC46" i="1"/>
  <c r="AA46" i="1"/>
  <c r="Z46" i="1"/>
  <c r="Y46" i="1"/>
  <c r="X46" i="1"/>
  <c r="W46" i="1"/>
  <c r="V46" i="1"/>
  <c r="T46" i="1"/>
  <c r="T45" i="1" s="1"/>
  <c r="Q46" i="1"/>
  <c r="Q45" i="1" s="1"/>
  <c r="O46" i="1"/>
  <c r="N46" i="1"/>
  <c r="M46" i="1"/>
  <c r="K46" i="1"/>
  <c r="J46" i="1"/>
  <c r="J45" i="1" s="1"/>
  <c r="I46" i="1"/>
  <c r="H46" i="1"/>
  <c r="H45" i="1" s="1"/>
  <c r="AB44" i="1"/>
  <c r="G44" i="1"/>
  <c r="AL44" i="1" s="1"/>
  <c r="U43" i="1"/>
  <c r="L43" i="1"/>
  <c r="G43" i="1"/>
  <c r="AL43" i="1" s="1"/>
  <c r="S42" i="1"/>
  <c r="AE42" i="1" s="1"/>
  <c r="R42" i="1"/>
  <c r="AD42" i="1" s="1"/>
  <c r="L42" i="1"/>
  <c r="AH42" i="1" s="1"/>
  <c r="AL42" i="1" s="1"/>
  <c r="G42" i="1"/>
  <c r="AE41" i="1"/>
  <c r="AE39" i="1" s="1"/>
  <c r="U41" i="1"/>
  <c r="R41" i="1"/>
  <c r="AD41" i="1" s="1"/>
  <c r="L41" i="1"/>
  <c r="G41" i="1"/>
  <c r="J40" i="1"/>
  <c r="I40" i="1"/>
  <c r="H40" i="1"/>
  <c r="G40" i="1"/>
  <c r="AC39" i="1"/>
  <c r="AA39" i="1"/>
  <c r="Z39" i="1"/>
  <c r="Y39" i="1"/>
  <c r="X39" i="1"/>
  <c r="W39" i="1"/>
  <c r="V39" i="1"/>
  <c r="T39" i="1"/>
  <c r="Q39" i="1"/>
  <c r="O39" i="1"/>
  <c r="N39" i="1"/>
  <c r="M39" i="1"/>
  <c r="K39" i="1"/>
  <c r="J39" i="1"/>
  <c r="I39" i="1"/>
  <c r="H39" i="1"/>
  <c r="G38" i="1"/>
  <c r="J37" i="1"/>
  <c r="G36" i="1"/>
  <c r="G35" i="1"/>
  <c r="G34" i="1"/>
  <c r="G33" i="1"/>
  <c r="G32" i="1"/>
  <c r="J31" i="1"/>
  <c r="G31" i="1" s="1"/>
  <c r="G30" i="1"/>
  <c r="U29" i="1"/>
  <c r="U28" i="1" s="1"/>
  <c r="R29" i="1"/>
  <c r="L29" i="1"/>
  <c r="G29" i="1"/>
  <c r="G28" i="1" s="1"/>
  <c r="AC28" i="1"/>
  <c r="AA28" i="1"/>
  <c r="Z28" i="1"/>
  <c r="Y28" i="1"/>
  <c r="X28" i="1"/>
  <c r="W28" i="1"/>
  <c r="V28" i="1"/>
  <c r="T28" i="1"/>
  <c r="T21" i="1" s="1"/>
  <c r="Q28" i="1"/>
  <c r="O28" i="1"/>
  <c r="N28" i="1"/>
  <c r="M28" i="1"/>
  <c r="K28" i="1"/>
  <c r="J28" i="1"/>
  <c r="I28" i="1"/>
  <c r="H28" i="1"/>
  <c r="AE27" i="1"/>
  <c r="AD27" i="1"/>
  <c r="U27" i="1"/>
  <c r="L27" i="1"/>
  <c r="AH27" i="1" s="1"/>
  <c r="G27" i="1"/>
  <c r="AL27" i="1" s="1"/>
  <c r="AO27" i="1" s="1"/>
  <c r="AE26" i="1"/>
  <c r="AD26" i="1"/>
  <c r="U26" i="1"/>
  <c r="L26" i="1"/>
  <c r="AH26" i="1" s="1"/>
  <c r="AL26" i="1" s="1"/>
  <c r="G26" i="1"/>
  <c r="U25" i="1"/>
  <c r="S25" i="1"/>
  <c r="AE25" i="1" s="1"/>
  <c r="R25" i="1"/>
  <c r="AD25" i="1" s="1"/>
  <c r="AB25" i="1" s="1"/>
  <c r="L25" i="1"/>
  <c r="G25" i="1"/>
  <c r="AE24" i="1"/>
  <c r="U24" i="1"/>
  <c r="AH24" i="1" s="1"/>
  <c r="S24" i="1"/>
  <c r="R24" i="1"/>
  <c r="AD24" i="1" s="1"/>
  <c r="L24" i="1"/>
  <c r="G24" i="1"/>
  <c r="U23" i="1"/>
  <c r="S23" i="1"/>
  <c r="S22" i="1" s="1"/>
  <c r="R23" i="1"/>
  <c r="AD23" i="1" s="1"/>
  <c r="P23" i="1"/>
  <c r="L23" i="1"/>
  <c r="G23" i="1"/>
  <c r="AC22" i="1"/>
  <c r="AA22" i="1"/>
  <c r="Z22" i="1"/>
  <c r="Y22" i="1"/>
  <c r="X22" i="1"/>
  <c r="W22" i="1"/>
  <c r="V22" i="1"/>
  <c r="T22" i="1"/>
  <c r="Q22" i="1"/>
  <c r="O22" i="1"/>
  <c r="O21" i="1" s="1"/>
  <c r="N22" i="1"/>
  <c r="N21" i="1" s="1"/>
  <c r="M22" i="1"/>
  <c r="M21" i="1" s="1"/>
  <c r="K22" i="1"/>
  <c r="K21" i="1" s="1"/>
  <c r="J22" i="1"/>
  <c r="I22" i="1"/>
  <c r="H22" i="1"/>
  <c r="S20" i="1"/>
  <c r="AE20" i="1" s="1"/>
  <c r="R20" i="1"/>
  <c r="AD20" i="1" s="1"/>
  <c r="P20" i="1"/>
  <c r="AB20" i="1" s="1"/>
  <c r="S19" i="1"/>
  <c r="AE19" i="1" s="1"/>
  <c r="R19" i="1"/>
  <c r="AD19" i="1" s="1"/>
  <c r="P19" i="1"/>
  <c r="AB19" i="1" s="1"/>
  <c r="U18" i="1"/>
  <c r="S18" i="1"/>
  <c r="AE18" i="1" s="1"/>
  <c r="R18" i="1"/>
  <c r="AD18" i="1" s="1"/>
  <c r="L18" i="1"/>
  <c r="U17" i="1"/>
  <c r="S17" i="1"/>
  <c r="AE17" i="1" s="1"/>
  <c r="R17" i="1"/>
  <c r="AD17" i="1" s="1"/>
  <c r="L17" i="1"/>
  <c r="U16" i="1"/>
  <c r="T16" i="1"/>
  <c r="S16" i="1"/>
  <c r="AE16" i="1" s="1"/>
  <c r="R16" i="1"/>
  <c r="AD16" i="1" s="1"/>
  <c r="L16" i="1"/>
  <c r="AH16" i="1" s="1"/>
  <c r="AL16" i="1" s="1"/>
  <c r="U15" i="1"/>
  <c r="S15" i="1"/>
  <c r="AE15" i="1" s="1"/>
  <c r="R15" i="1"/>
  <c r="AD15" i="1" s="1"/>
  <c r="L15" i="1"/>
  <c r="AH15" i="1" s="1"/>
  <c r="AL15" i="1" s="1"/>
  <c r="U14" i="1"/>
  <c r="S14" i="1"/>
  <c r="AE14" i="1" s="1"/>
  <c r="R14" i="1"/>
  <c r="AD14" i="1" s="1"/>
  <c r="L14" i="1"/>
  <c r="AC13" i="1"/>
  <c r="AC12" i="1" s="1"/>
  <c r="AA13" i="1"/>
  <c r="AA12" i="1" s="1"/>
  <c r="Z13" i="1"/>
  <c r="Z12" i="1" s="1"/>
  <c r="Y13" i="1"/>
  <c r="Y12" i="1" s="1"/>
  <c r="X13" i="1"/>
  <c r="X12" i="1" s="1"/>
  <c r="W13" i="1"/>
  <c r="W12" i="1" s="1"/>
  <c r="V13" i="1"/>
  <c r="V12" i="1" s="1"/>
  <c r="T13" i="1"/>
  <c r="T12" i="1" s="1"/>
  <c r="Q13" i="1"/>
  <c r="Q12" i="1" s="1"/>
  <c r="O13" i="1"/>
  <c r="O12" i="1" s="1"/>
  <c r="N13" i="1"/>
  <c r="N12" i="1" s="1"/>
  <c r="M13" i="1"/>
  <c r="M12" i="1" s="1"/>
  <c r="K13" i="1"/>
  <c r="K12" i="1" s="1"/>
  <c r="J13" i="1"/>
  <c r="J12" i="1" s="1"/>
  <c r="I13" i="1"/>
  <c r="I12" i="1" s="1"/>
  <c r="H13" i="1"/>
  <c r="G13" i="1"/>
  <c r="G12" i="1" s="1"/>
  <c r="H12" i="1"/>
  <c r="AN363" i="1" l="1"/>
  <c r="AN362" i="1" s="1"/>
  <c r="AL369" i="1"/>
  <c r="AJ369" i="1"/>
  <c r="AJ368" i="1" s="1"/>
  <c r="AJ367" i="1" s="1"/>
  <c r="AN351" i="1"/>
  <c r="S198" i="1"/>
  <c r="AL346" i="1"/>
  <c r="U22" i="1"/>
  <c r="U21" i="1" s="1"/>
  <c r="AL291" i="1"/>
  <c r="AL253" i="1"/>
  <c r="P218" i="1"/>
  <c r="AB218" i="1" s="1"/>
  <c r="AH218" i="1"/>
  <c r="AL218" i="1" s="1"/>
  <c r="AL247" i="1"/>
  <c r="AH266" i="1"/>
  <c r="AL266" i="1" s="1"/>
  <c r="P340" i="1"/>
  <c r="AB340" i="1" s="1"/>
  <c r="AH340" i="1"/>
  <c r="AH337" i="1" s="1"/>
  <c r="AH336" i="1" s="1"/>
  <c r="AL200" i="1"/>
  <c r="AL41" i="1"/>
  <c r="AL39" i="1" s="1"/>
  <c r="AH39" i="1"/>
  <c r="L48" i="1"/>
  <c r="AH72" i="1"/>
  <c r="AH48" i="1" s="1"/>
  <c r="P263" i="1"/>
  <c r="AH263" i="1"/>
  <c r="Z285" i="1"/>
  <c r="R296" i="1"/>
  <c r="AD296" i="1" s="1"/>
  <c r="S296" i="1"/>
  <c r="AE296" i="1" s="1"/>
  <c r="Q334" i="1"/>
  <c r="AC335" i="1"/>
  <c r="AC334" i="1" s="1"/>
  <c r="AL342" i="1"/>
  <c r="AI337" i="1"/>
  <c r="AI336" i="1" s="1"/>
  <c r="AK286" i="1"/>
  <c r="AK285" i="1" s="1"/>
  <c r="P214" i="1"/>
  <c r="AB214" i="1" s="1"/>
  <c r="AH214" i="1"/>
  <c r="AL214" i="1" s="1"/>
  <c r="P312" i="1"/>
  <c r="AB312" i="1" s="1"/>
  <c r="AH312" i="1"/>
  <c r="AJ364" i="1"/>
  <c r="AJ362" i="1" s="1"/>
  <c r="AL364" i="1"/>
  <c r="AN364" i="1" s="1"/>
  <c r="L28" i="1"/>
  <c r="AH29" i="1"/>
  <c r="AH28" i="1" s="1"/>
  <c r="T198" i="1"/>
  <c r="AI251" i="1"/>
  <c r="P288" i="1"/>
  <c r="AB288" i="1" s="1"/>
  <c r="AH288" i="1"/>
  <c r="AL288" i="1" s="1"/>
  <c r="P344" i="1"/>
  <c r="AH344" i="1"/>
  <c r="AO324" i="1"/>
  <c r="AO320" i="1" s="1"/>
  <c r="T73" i="1"/>
  <c r="AF74" i="1"/>
  <c r="AF73" i="1" s="1"/>
  <c r="AF11" i="1" s="1"/>
  <c r="AH188" i="1"/>
  <c r="AL188" i="1" s="1"/>
  <c r="I251" i="1"/>
  <c r="P255" i="1"/>
  <c r="AB255" i="1" s="1"/>
  <c r="AH255" i="1"/>
  <c r="AL255" i="1" s="1"/>
  <c r="P281" i="1"/>
  <c r="AH281" i="1"/>
  <c r="AL281" i="1" s="1"/>
  <c r="P283" i="1"/>
  <c r="AH283" i="1"/>
  <c r="AL289" i="1"/>
  <c r="S291" i="1"/>
  <c r="AE291" i="1" s="1"/>
  <c r="P323" i="1"/>
  <c r="AB323" i="1" s="1"/>
  <c r="AB321" i="1" s="1"/>
  <c r="AH323" i="1"/>
  <c r="AL323" i="1" s="1"/>
  <c r="P328" i="1"/>
  <c r="AB328" i="1" s="1"/>
  <c r="AH328" i="1"/>
  <c r="AL328" i="1" s="1"/>
  <c r="AH352" i="1"/>
  <c r="Q358" i="1"/>
  <c r="Q356" i="1" s="1"/>
  <c r="AH358" i="1"/>
  <c r="AL358" i="1" s="1"/>
  <c r="AN324" i="1"/>
  <c r="P210" i="1"/>
  <c r="AB210" i="1" s="1"/>
  <c r="AH210" i="1"/>
  <c r="M235" i="1"/>
  <c r="AI237" i="1"/>
  <c r="AI235" i="1" s="1"/>
  <c r="AI234" i="1" s="1"/>
  <c r="AL278" i="1"/>
  <c r="AL277" i="1" s="1"/>
  <c r="AH277" i="1"/>
  <c r="AK177" i="1"/>
  <c r="AK175" i="1" s="1"/>
  <c r="AL236" i="1"/>
  <c r="P14" i="1"/>
  <c r="AH14" i="1"/>
  <c r="P18" i="1"/>
  <c r="AH18" i="1"/>
  <c r="AL18" i="1" s="1"/>
  <c r="M285" i="1"/>
  <c r="AA223" i="1"/>
  <c r="L226" i="1"/>
  <c r="AH226" i="1" s="1"/>
  <c r="AL226" i="1" s="1"/>
  <c r="AN226" i="1"/>
  <c r="AJ226" i="1"/>
  <c r="AL245" i="1"/>
  <c r="AN245" i="1"/>
  <c r="AN235" i="1" s="1"/>
  <c r="AN234" i="1" s="1"/>
  <c r="AJ306" i="1"/>
  <c r="L306" i="1"/>
  <c r="P308" i="1"/>
  <c r="AB308" i="1" s="1"/>
  <c r="AH308" i="1"/>
  <c r="AL308" i="1" s="1"/>
  <c r="AL314" i="1"/>
  <c r="AM352" i="1"/>
  <c r="AH355" i="1"/>
  <c r="AL355" i="1" s="1"/>
  <c r="AN355" i="1" s="1"/>
  <c r="AH371" i="1"/>
  <c r="AJ371" i="1" s="1"/>
  <c r="AN337" i="1"/>
  <c r="AN336" i="1" s="1"/>
  <c r="AH333" i="1"/>
  <c r="AL333" i="1" s="1"/>
  <c r="AH331" i="1"/>
  <c r="AL331" i="1" s="1"/>
  <c r="AJ324" i="1"/>
  <c r="AH300" i="1"/>
  <c r="AL301" i="1"/>
  <c r="AL300" i="1" s="1"/>
  <c r="AH222" i="1"/>
  <c r="AL222" i="1" s="1"/>
  <c r="AI21" i="1"/>
  <c r="AK350" i="1"/>
  <c r="P25" i="1"/>
  <c r="AH25" i="1"/>
  <c r="AH180" i="1"/>
  <c r="AL180" i="1" s="1"/>
  <c r="AH184" i="1"/>
  <c r="AL184" i="1" s="1"/>
  <c r="AH186" i="1"/>
  <c r="AL186" i="1" s="1"/>
  <c r="P205" i="1"/>
  <c r="AH205" i="1"/>
  <c r="AL205" i="1" s="1"/>
  <c r="V198" i="1"/>
  <c r="P215" i="1"/>
  <c r="AB215" i="1" s="1"/>
  <c r="AH215" i="1"/>
  <c r="AL215" i="1" s="1"/>
  <c r="L225" i="1"/>
  <c r="AH225" i="1" s="1"/>
  <c r="AJ225" i="1"/>
  <c r="P227" i="1"/>
  <c r="AB227" i="1" s="1"/>
  <c r="AH227" i="1"/>
  <c r="AL227" i="1" s="1"/>
  <c r="P243" i="1"/>
  <c r="S243" i="1" s="1"/>
  <c r="AE243" i="1" s="1"/>
  <c r="AH243" i="1"/>
  <c r="AL243" i="1" s="1"/>
  <c r="P289" i="1"/>
  <c r="AB289" i="1" s="1"/>
  <c r="AH289" i="1"/>
  <c r="P296" i="1"/>
  <c r="AB296" i="1" s="1"/>
  <c r="AH296" i="1"/>
  <c r="AL296" i="1" s="1"/>
  <c r="T285" i="1"/>
  <c r="G300" i="1"/>
  <c r="AN301" i="1"/>
  <c r="AN300" i="1" s="1"/>
  <c r="AN285" i="1" s="1"/>
  <c r="AO301" i="1"/>
  <c r="AO300" i="1" s="1"/>
  <c r="AL347" i="1"/>
  <c r="AJ356" i="1"/>
  <c r="AJ350" i="1" s="1"/>
  <c r="AL339" i="1"/>
  <c r="AJ320" i="1"/>
  <c r="AF320" i="1"/>
  <c r="AK45" i="1"/>
  <c r="H108" i="1"/>
  <c r="J286" i="1"/>
  <c r="J285" i="1" s="1"/>
  <c r="AO298" i="1"/>
  <c r="AL340" i="1"/>
  <c r="AJ262" i="1"/>
  <c r="AJ235" i="1"/>
  <c r="AJ234" i="1" s="1"/>
  <c r="AN177" i="1"/>
  <c r="AN175" i="1" s="1"/>
  <c r="X45" i="1"/>
  <c r="L46" i="1"/>
  <c r="L45" i="1" s="1"/>
  <c r="AH47" i="1"/>
  <c r="AH46" i="1" s="1"/>
  <c r="AC45" i="1"/>
  <c r="I108" i="1"/>
  <c r="AH178" i="1"/>
  <c r="AH182" i="1"/>
  <c r="AL182" i="1" s="1"/>
  <c r="AO182" i="1" s="1"/>
  <c r="AO177" i="1" s="1"/>
  <c r="AH189" i="1"/>
  <c r="AH228" i="1"/>
  <c r="AL228" i="1" s="1"/>
  <c r="L230" i="1"/>
  <c r="AJ230" i="1"/>
  <c r="J234" i="1"/>
  <c r="Z234" i="1"/>
  <c r="P244" i="1"/>
  <c r="AB244" i="1" s="1"/>
  <c r="AH244" i="1"/>
  <c r="AL244" i="1" s="1"/>
  <c r="P254" i="1"/>
  <c r="AB254" i="1" s="1"/>
  <c r="P287" i="1"/>
  <c r="AH287" i="1"/>
  <c r="P294" i="1"/>
  <c r="AH294" i="1"/>
  <c r="AL294" i="1" s="1"/>
  <c r="P309" i="1"/>
  <c r="AH309" i="1"/>
  <c r="AL315" i="1"/>
  <c r="AB331" i="1"/>
  <c r="AL343" i="1"/>
  <c r="R345" i="1"/>
  <c r="AD345" i="1" s="1"/>
  <c r="M350" i="1"/>
  <c r="P357" i="1"/>
  <c r="AH357" i="1"/>
  <c r="AL344" i="1"/>
  <c r="AN344" i="1"/>
  <c r="AL341" i="1"/>
  <c r="AO341" i="1" s="1"/>
  <c r="AO337" i="1" s="1"/>
  <c r="AO336" i="1" s="1"/>
  <c r="AL338" i="1"/>
  <c r="AJ337" i="1"/>
  <c r="AJ336" i="1" s="1"/>
  <c r="AM286" i="1"/>
  <c r="AM285" i="1" s="1"/>
  <c r="AI262" i="1"/>
  <c r="AJ228" i="1"/>
  <c r="AN228" i="1" s="1"/>
  <c r="AI198" i="1"/>
  <c r="AJ177" i="1"/>
  <c r="AJ175" i="1" s="1"/>
  <c r="K276" i="1"/>
  <c r="AL195" i="1"/>
  <c r="AO196" i="1"/>
  <c r="AO195" i="1" s="1"/>
  <c r="AO13" i="1"/>
  <c r="AO12" i="1" s="1"/>
  <c r="AH17" i="1"/>
  <c r="AL17" i="1" s="1"/>
  <c r="AH23" i="1"/>
  <c r="AH22" i="1" s="1"/>
  <c r="AH21" i="1" s="1"/>
  <c r="Z21" i="1"/>
  <c r="R39" i="1"/>
  <c r="AD39" i="1"/>
  <c r="AB189" i="1"/>
  <c r="Z198" i="1"/>
  <c r="I223" i="1"/>
  <c r="O223" i="1"/>
  <c r="N234" i="1"/>
  <c r="AA234" i="1"/>
  <c r="Q238" i="1"/>
  <c r="Q235" i="1" s="1"/>
  <c r="Q234" i="1" s="1"/>
  <c r="AI238" i="1"/>
  <c r="P259" i="1"/>
  <c r="AB259" i="1" s="1"/>
  <c r="AH259" i="1"/>
  <c r="AL259" i="1" s="1"/>
  <c r="AH261" i="1"/>
  <c r="AL261" i="1" s="1"/>
  <c r="P264" i="1"/>
  <c r="AB264" i="1" s="1"/>
  <c r="AH264" i="1"/>
  <c r="AL264" i="1" s="1"/>
  <c r="I262" i="1"/>
  <c r="AN275" i="1"/>
  <c r="AO275" i="1" s="1"/>
  <c r="AO262" i="1" s="1"/>
  <c r="AO251" i="1" s="1"/>
  <c r="P290" i="1"/>
  <c r="AB290" i="1" s="1"/>
  <c r="AH290" i="1"/>
  <c r="AL290" i="1" s="1"/>
  <c r="AH313" i="1"/>
  <c r="AL313" i="1" s="1"/>
  <c r="P317" i="1"/>
  <c r="S317" i="1" s="1"/>
  <c r="AH317" i="1"/>
  <c r="AL317" i="1" s="1"/>
  <c r="K302" i="1"/>
  <c r="P322" i="1"/>
  <c r="AB322" i="1" s="1"/>
  <c r="AH322" i="1"/>
  <c r="AB332" i="1"/>
  <c r="AH342" i="1"/>
  <c r="AK337" i="1"/>
  <c r="AK336" i="1" s="1"/>
  <c r="AH327" i="1"/>
  <c r="AL327" i="1" s="1"/>
  <c r="AL325" i="1"/>
  <c r="AG303" i="1"/>
  <c r="AG302" i="1" s="1"/>
  <c r="AK252" i="1"/>
  <c r="AK251" i="1" s="1"/>
  <c r="AM223" i="1"/>
  <c r="AH211" i="1"/>
  <c r="AL211" i="1" s="1"/>
  <c r="AL23" i="1"/>
  <c r="AL22" i="1" s="1"/>
  <c r="AG22" i="1"/>
  <c r="AG21" i="1" s="1"/>
  <c r="AJ13" i="1"/>
  <c r="AJ12" i="1" s="1"/>
  <c r="AN14" i="1"/>
  <c r="AN13" i="1" s="1"/>
  <c r="AN12" i="1" s="1"/>
  <c r="AH361" i="1"/>
  <c r="AL361" i="1" s="1"/>
  <c r="AH273" i="1"/>
  <c r="AL273" i="1" s="1"/>
  <c r="AA21" i="1"/>
  <c r="Z45" i="1"/>
  <c r="P201" i="1"/>
  <c r="AH201" i="1"/>
  <c r="AL201" i="1" s="1"/>
  <c r="P213" i="1"/>
  <c r="AB213" i="1" s="1"/>
  <c r="AH213" i="1"/>
  <c r="AL213" i="1" s="1"/>
  <c r="P221" i="1"/>
  <c r="AB221" i="1" s="1"/>
  <c r="AH221" i="1"/>
  <c r="AL221" i="1" s="1"/>
  <c r="K223" i="1"/>
  <c r="G223" i="1"/>
  <c r="U231" i="1"/>
  <c r="Q251" i="1"/>
  <c r="P256" i="1"/>
  <c r="AB256" i="1" s="1"/>
  <c r="AH256" i="1"/>
  <c r="AL256" i="1" s="1"/>
  <c r="S267" i="1"/>
  <c r="P267" i="1" s="1"/>
  <c r="AB267" i="1" s="1"/>
  <c r="S288" i="1"/>
  <c r="AE288" i="1" s="1"/>
  <c r="AO288" i="1"/>
  <c r="AH293" i="1"/>
  <c r="AL293" i="1" s="1"/>
  <c r="AH295" i="1"/>
  <c r="AL295" i="1" s="1"/>
  <c r="AH297" i="1"/>
  <c r="AL297" i="1" s="1"/>
  <c r="L304" i="1"/>
  <c r="AH304" i="1" s="1"/>
  <c r="AJ304" i="1"/>
  <c r="AJ303" i="1" s="1"/>
  <c r="AJ302" i="1" s="1"/>
  <c r="AL348" i="1"/>
  <c r="O350" i="1"/>
  <c r="P360" i="1"/>
  <c r="AH360" i="1"/>
  <c r="AL360" i="1" s="1"/>
  <c r="AL345" i="1"/>
  <c r="AK324" i="1"/>
  <c r="AK320" i="1" s="1"/>
  <c r="AM301" i="1"/>
  <c r="AM300" i="1" s="1"/>
  <c r="AI300" i="1"/>
  <c r="AI285" i="1" s="1"/>
  <c r="AO287" i="1"/>
  <c r="AN278" i="1"/>
  <c r="AN277" i="1" s="1"/>
  <c r="AN276" i="1" s="1"/>
  <c r="AJ277" i="1"/>
  <c r="AJ276" i="1" s="1"/>
  <c r="AN253" i="1"/>
  <c r="AN252" i="1" s="1"/>
  <c r="AJ252" i="1"/>
  <c r="AJ251" i="1" s="1"/>
  <c r="AN225" i="1"/>
  <c r="AN224" i="1" s="1"/>
  <c r="AN223" i="1" s="1"/>
  <c r="AH219" i="1"/>
  <c r="AL219" i="1" s="1"/>
  <c r="AJ39" i="1"/>
  <c r="AL29" i="1"/>
  <c r="AL24" i="1"/>
  <c r="AO24" i="1"/>
  <c r="AK13" i="1"/>
  <c r="AK12" i="1" s="1"/>
  <c r="AL307" i="1"/>
  <c r="AK303" i="1"/>
  <c r="AK302" i="1" s="1"/>
  <c r="AH267" i="1"/>
  <c r="AL267" i="1" s="1"/>
  <c r="AM251" i="1"/>
  <c r="AH241" i="1"/>
  <c r="AK224" i="1"/>
  <c r="AK223" i="1" s="1"/>
  <c r="AN22" i="1"/>
  <c r="AN21" i="1" s="1"/>
  <c r="AI321" i="1"/>
  <c r="AI320" i="1" s="1"/>
  <c r="AL312" i="1"/>
  <c r="AL309" i="1"/>
  <c r="AN198" i="1"/>
  <c r="AF177" i="1"/>
  <c r="AF175" i="1" s="1"/>
  <c r="AL25" i="1"/>
  <c r="AO25" i="1"/>
  <c r="AK277" i="1"/>
  <c r="AK276" i="1" s="1"/>
  <c r="AO278" i="1"/>
  <c r="AO277" i="1" s="1"/>
  <c r="AO276" i="1" s="1"/>
  <c r="AH274" i="1"/>
  <c r="AL274" i="1" s="1"/>
  <c r="AH265" i="1"/>
  <c r="AL265" i="1" s="1"/>
  <c r="AL254" i="1"/>
  <c r="AH231" i="1"/>
  <c r="AF223" i="1"/>
  <c r="AG198" i="1"/>
  <c r="AG11" i="1" s="1"/>
  <c r="AL232" i="1"/>
  <c r="AL231" i="1" s="1"/>
  <c r="S238" i="1"/>
  <c r="Q323" i="1"/>
  <c r="AC323" i="1" s="1"/>
  <c r="AC321" i="1" s="1"/>
  <c r="AC320" i="1" s="1"/>
  <c r="G112" i="1"/>
  <c r="M223" i="1"/>
  <c r="L321" i="1"/>
  <c r="S328" i="1"/>
  <c r="AE328" i="1" s="1"/>
  <c r="AC21" i="1"/>
  <c r="G22" i="1"/>
  <c r="G21" i="1" s="1"/>
  <c r="R45" i="1"/>
  <c r="AB26" i="1"/>
  <c r="H21" i="1"/>
  <c r="AD252" i="1"/>
  <c r="AA251" i="1"/>
  <c r="O285" i="1"/>
  <c r="I302" i="1"/>
  <c r="S350" i="1"/>
  <c r="Q223" i="1"/>
  <c r="U235" i="1"/>
  <c r="U234" i="1" s="1"/>
  <c r="M276" i="1"/>
  <c r="Y276" i="1"/>
  <c r="J302" i="1"/>
  <c r="AB313" i="1"/>
  <c r="X320" i="1"/>
  <c r="H350" i="1"/>
  <c r="G368" i="1"/>
  <c r="G367" i="1" s="1"/>
  <c r="V21" i="1"/>
  <c r="AB24" i="1"/>
  <c r="W21" i="1"/>
  <c r="S45" i="1"/>
  <c r="G190" i="1"/>
  <c r="AD198" i="1"/>
  <c r="Y198" i="1"/>
  <c r="U207" i="1"/>
  <c r="N276" i="1"/>
  <c r="Z276" i="1"/>
  <c r="R301" i="1"/>
  <c r="AD301" i="1" s="1"/>
  <c r="AD300" i="1" s="1"/>
  <c r="Z302" i="1"/>
  <c r="W320" i="1"/>
  <c r="I350" i="1"/>
  <c r="AB360" i="1"/>
  <c r="R304" i="1"/>
  <c r="AD304" i="1" s="1"/>
  <c r="Y234" i="1"/>
  <c r="N285" i="1"/>
  <c r="V223" i="1"/>
  <c r="AB287" i="1"/>
  <c r="I45" i="1"/>
  <c r="G324" i="1"/>
  <c r="G320" i="1" s="1"/>
  <c r="K45" i="1"/>
  <c r="AA285" i="1"/>
  <c r="AA45" i="1"/>
  <c r="Z175" i="1"/>
  <c r="K251" i="1"/>
  <c r="X251" i="1"/>
  <c r="V285" i="1"/>
  <c r="AB297" i="1"/>
  <c r="U303" i="1"/>
  <c r="U302" i="1" s="1"/>
  <c r="AB27" i="1"/>
  <c r="AB179" i="1"/>
  <c r="L199" i="1"/>
  <c r="W198" i="1"/>
  <c r="AA198" i="1"/>
  <c r="R227" i="1"/>
  <c r="AD227" i="1" s="1"/>
  <c r="Y251" i="1"/>
  <c r="W251" i="1"/>
  <c r="G276" i="1"/>
  <c r="Q276" i="1"/>
  <c r="AC276" i="1"/>
  <c r="R276" i="1"/>
  <c r="M320" i="1"/>
  <c r="Y320" i="1"/>
  <c r="K350" i="1"/>
  <c r="Z350" i="1"/>
  <c r="Q353" i="1"/>
  <c r="V353" i="1" s="1"/>
  <c r="AA350" i="1"/>
  <c r="P260" i="1"/>
  <c r="AB260" i="1" s="1"/>
  <c r="S341" i="1"/>
  <c r="AE341" i="1" s="1"/>
  <c r="AB341" i="1"/>
  <c r="H223" i="1"/>
  <c r="S274" i="1"/>
  <c r="AE274" i="1" s="1"/>
  <c r="P298" i="1"/>
  <c r="AB298" i="1" s="1"/>
  <c r="R13" i="1"/>
  <c r="R12" i="1" s="1"/>
  <c r="P15" i="1"/>
  <c r="AB15" i="1" s="1"/>
  <c r="L229" i="1"/>
  <c r="AH229" i="1" s="1"/>
  <c r="AL229" i="1" s="1"/>
  <c r="S289" i="1"/>
  <c r="AE289" i="1" s="1"/>
  <c r="R289" i="1"/>
  <c r="AD289" i="1" s="1"/>
  <c r="Z223" i="1"/>
  <c r="G39" i="1"/>
  <c r="S227" i="1"/>
  <c r="AE227" i="1" s="1"/>
  <c r="L286" i="1"/>
  <c r="AB349" i="1"/>
  <c r="V175" i="1"/>
  <c r="J224" i="1"/>
  <c r="J223" i="1" s="1"/>
  <c r="AB366" i="1"/>
  <c r="AD366" i="1" s="1"/>
  <c r="R366" i="1"/>
  <c r="AB14" i="1"/>
  <c r="W175" i="1"/>
  <c r="R287" i="1"/>
  <c r="AD287" i="1" s="1"/>
  <c r="S287" i="1"/>
  <c r="AE287" i="1" s="1"/>
  <c r="U39" i="1"/>
  <c r="AB43" i="1"/>
  <c r="AC198" i="1"/>
  <c r="N224" i="1"/>
  <c r="N223" i="1" s="1"/>
  <c r="O234" i="1"/>
  <c r="S264" i="1"/>
  <c r="AE264" i="1" s="1"/>
  <c r="Q303" i="1"/>
  <c r="Q302" i="1" s="1"/>
  <c r="AC317" i="1"/>
  <c r="AC303" i="1" s="1"/>
  <c r="AC302" i="1" s="1"/>
  <c r="AB18" i="1"/>
  <c r="P41" i="1"/>
  <c r="AB41" i="1" s="1"/>
  <c r="L177" i="1"/>
  <c r="L175" i="1" s="1"/>
  <c r="J198" i="1"/>
  <c r="O251" i="1"/>
  <c r="G251" i="1"/>
  <c r="I276" i="1"/>
  <c r="O276" i="1"/>
  <c r="R300" i="1"/>
  <c r="W351" i="1"/>
  <c r="W350" i="1" s="1"/>
  <c r="AC352" i="1"/>
  <c r="AC351" i="1" s="1"/>
  <c r="U352" i="1"/>
  <c r="P372" i="1"/>
  <c r="P347" i="1"/>
  <c r="S347" i="1" s="1"/>
  <c r="AE347" i="1" s="1"/>
  <c r="AB347" i="1" s="1"/>
  <c r="AD235" i="1"/>
  <c r="AD234" i="1" s="1"/>
  <c r="AB238" i="1"/>
  <c r="L13" i="1"/>
  <c r="L12" i="1" s="1"/>
  <c r="U46" i="1"/>
  <c r="U45" i="1" s="1"/>
  <c r="AB196" i="1"/>
  <c r="AB195" i="1" s="1"/>
  <c r="U195" i="1"/>
  <c r="P17" i="1"/>
  <c r="AB17" i="1" s="1"/>
  <c r="J176" i="1"/>
  <c r="J175" i="1"/>
  <c r="J21" i="1"/>
  <c r="V45" i="1"/>
  <c r="AE45" i="1"/>
  <c r="AE198" i="1"/>
  <c r="P293" i="1"/>
  <c r="AB293" i="1" s="1"/>
  <c r="H302" i="1"/>
  <c r="J320" i="1"/>
  <c r="T320" i="1"/>
  <c r="P329" i="1"/>
  <c r="AB329" i="1" s="1"/>
  <c r="L351" i="1"/>
  <c r="P352" i="1"/>
  <c r="G351" i="1"/>
  <c r="R355" i="1"/>
  <c r="AA276" i="1"/>
  <c r="AC285" i="1"/>
  <c r="AB316" i="1"/>
  <c r="Y21" i="1"/>
  <c r="AD45" i="1"/>
  <c r="J108" i="1"/>
  <c r="X175" i="1"/>
  <c r="K198" i="1"/>
  <c r="G207" i="1"/>
  <c r="AB222" i="1"/>
  <c r="AC238" i="1"/>
  <c r="AM238" i="1" s="1"/>
  <c r="AM235" i="1" s="1"/>
  <c r="J251" i="1"/>
  <c r="H285" i="1"/>
  <c r="S298" i="1"/>
  <c r="AE298" i="1" s="1"/>
  <c r="Y302" i="1"/>
  <c r="V320" i="1"/>
  <c r="AE350" i="1"/>
  <c r="R368" i="1"/>
  <c r="R367" i="1" s="1"/>
  <c r="X21" i="1"/>
  <c r="W45" i="1"/>
  <c r="N175" i="1"/>
  <c r="AD177" i="1"/>
  <c r="AD175" i="1" s="1"/>
  <c r="G199" i="1"/>
  <c r="AC223" i="1"/>
  <c r="W234" i="1"/>
  <c r="J276" i="1"/>
  <c r="R290" i="1"/>
  <c r="AD290" i="1" s="1"/>
  <c r="AB314" i="1"/>
  <c r="AE314" i="1" s="1"/>
  <c r="AB342" i="1"/>
  <c r="Q21" i="1"/>
  <c r="N45" i="1"/>
  <c r="J75" i="1"/>
  <c r="O175" i="1"/>
  <c r="AB184" i="1"/>
  <c r="T175" i="1"/>
  <c r="I234" i="1"/>
  <c r="N251" i="1"/>
  <c r="Z251" i="1"/>
  <c r="AC252" i="1"/>
  <c r="AC251" i="1" s="1"/>
  <c r="U262" i="1"/>
  <c r="K285" i="1"/>
  <c r="L305" i="1"/>
  <c r="AB307" i="1"/>
  <c r="AB309" i="1"/>
  <c r="H320" i="1"/>
  <c r="AB325" i="1"/>
  <c r="G337" i="1"/>
  <c r="G336" i="1" s="1"/>
  <c r="AB343" i="1"/>
  <c r="J350" i="1"/>
  <c r="AB370" i="1"/>
  <c r="AD370" i="1" s="1"/>
  <c r="AE22" i="1"/>
  <c r="I21" i="1"/>
  <c r="O45" i="1"/>
  <c r="Y45" i="1"/>
  <c r="AB180" i="1"/>
  <c r="M175" i="1"/>
  <c r="AC175" i="1"/>
  <c r="W223" i="1"/>
  <c r="L231" i="1"/>
  <c r="I320" i="1"/>
  <c r="AA320" i="1"/>
  <c r="N320" i="1"/>
  <c r="AB326" i="1"/>
  <c r="AB338" i="1"/>
  <c r="AB358" i="1"/>
  <c r="AC358" i="1" s="1"/>
  <c r="AM358" i="1" s="1"/>
  <c r="AM356" i="1" s="1"/>
  <c r="P24" i="1"/>
  <c r="P22" i="1" s="1"/>
  <c r="AB23" i="1"/>
  <c r="AD22" i="1"/>
  <c r="AB187" i="1"/>
  <c r="P202" i="1"/>
  <c r="AB202" i="1" s="1"/>
  <c r="P206" i="1"/>
  <c r="L252" i="1"/>
  <c r="P253" i="1"/>
  <c r="AD13" i="1"/>
  <c r="AD12" i="1" s="1"/>
  <c r="AB200" i="1"/>
  <c r="R200" i="1"/>
  <c r="P16" i="1"/>
  <c r="AB16" i="1" s="1"/>
  <c r="L22" i="1"/>
  <c r="L21" i="1" s="1"/>
  <c r="G46" i="1"/>
  <c r="AB185" i="1"/>
  <c r="S185" i="1"/>
  <c r="AE185" i="1" s="1"/>
  <c r="AB186" i="1"/>
  <c r="AB201" i="1"/>
  <c r="U199" i="1"/>
  <c r="P217" i="1"/>
  <c r="AB217" i="1" s="1"/>
  <c r="L39" i="1"/>
  <c r="P42" i="1"/>
  <c r="AE13" i="1"/>
  <c r="AE12" i="1" s="1"/>
  <c r="G108" i="1"/>
  <c r="I176" i="1"/>
  <c r="G177" i="1"/>
  <c r="U13" i="1"/>
  <c r="U12" i="1" s="1"/>
  <c r="G48" i="1"/>
  <c r="AB239" i="1"/>
  <c r="AE239" i="1" s="1"/>
  <c r="S239" i="1"/>
  <c r="AD29" i="1"/>
  <c r="AD28" i="1" s="1"/>
  <c r="R28" i="1"/>
  <c r="AB188" i="1"/>
  <c r="AB245" i="1"/>
  <c r="G73" i="1"/>
  <c r="S13" i="1"/>
  <c r="S12" i="1" s="1"/>
  <c r="U177" i="1"/>
  <c r="S181" i="1"/>
  <c r="AB181" i="1"/>
  <c r="AB182" i="1"/>
  <c r="S182" i="1"/>
  <c r="AE182" i="1" s="1"/>
  <c r="AB263" i="1"/>
  <c r="X224" i="1"/>
  <c r="X223" i="1" s="1"/>
  <c r="U230" i="1"/>
  <c r="U224" i="1" s="1"/>
  <c r="U223" i="1" s="1"/>
  <c r="G246" i="1"/>
  <c r="G234" i="1" s="1"/>
  <c r="P269" i="1"/>
  <c r="AB269" i="1" s="1"/>
  <c r="AE269" i="1"/>
  <c r="P47" i="1"/>
  <c r="P178" i="1"/>
  <c r="AB205" i="1"/>
  <c r="M246" i="1"/>
  <c r="M234" i="1" s="1"/>
  <c r="L247" i="1"/>
  <c r="AH247" i="1" s="1"/>
  <c r="AH246" i="1" s="1"/>
  <c r="U252" i="1"/>
  <c r="P258" i="1"/>
  <c r="AB258" i="1" s="1"/>
  <c r="AB283" i="1"/>
  <c r="AB282" i="1" s="1"/>
  <c r="P282" i="1"/>
  <c r="U356" i="1"/>
  <c r="P204" i="1"/>
  <c r="AB204" i="1" s="1"/>
  <c r="AB243" i="1"/>
  <c r="AB261" i="1"/>
  <c r="AE271" i="1"/>
  <c r="P271" i="1"/>
  <c r="AB271" i="1" s="1"/>
  <c r="S39" i="1"/>
  <c r="R177" i="1"/>
  <c r="R175" i="1" s="1"/>
  <c r="L207" i="1"/>
  <c r="P225" i="1"/>
  <c r="P228" i="1"/>
  <c r="AB228" i="1" s="1"/>
  <c r="AB257" i="1"/>
  <c r="S257" i="1"/>
  <c r="R22" i="1"/>
  <c r="P209" i="1"/>
  <c r="AB209" i="1" s="1"/>
  <c r="R228" i="1"/>
  <c r="AD228" i="1" s="1"/>
  <c r="S242" i="1"/>
  <c r="AE242" i="1" s="1"/>
  <c r="P265" i="1"/>
  <c r="AB265" i="1" s="1"/>
  <c r="H176" i="1"/>
  <c r="H234" i="1"/>
  <c r="L237" i="1"/>
  <c r="P237" i="1" s="1"/>
  <c r="AB237" i="1" s="1"/>
  <c r="P240" i="1"/>
  <c r="AB240" i="1" s="1"/>
  <c r="AE240" i="1" s="1"/>
  <c r="K235" i="1"/>
  <c r="K234" i="1" s="1"/>
  <c r="AB248" i="1"/>
  <c r="P29" i="1"/>
  <c r="AB236" i="1"/>
  <c r="S236" i="1"/>
  <c r="AB250" i="1"/>
  <c r="P272" i="1"/>
  <c r="AB272" i="1" s="1"/>
  <c r="AE272" i="1"/>
  <c r="AB281" i="1"/>
  <c r="S281" i="1"/>
  <c r="R226" i="1"/>
  <c r="AB280" i="1"/>
  <c r="AB295" i="1"/>
  <c r="AE295" i="1" s="1"/>
  <c r="R311" i="1"/>
  <c r="AD311" i="1" s="1"/>
  <c r="L311" i="1"/>
  <c r="L277" i="1"/>
  <c r="G303" i="1"/>
  <c r="G302" i="1" s="1"/>
  <c r="U368" i="1"/>
  <c r="U367" i="1" s="1"/>
  <c r="S266" i="1"/>
  <c r="P279" i="1"/>
  <c r="P291" i="1"/>
  <c r="AB291" i="1" s="1"/>
  <c r="S292" i="1"/>
  <c r="AE292" i="1" s="1"/>
  <c r="R252" i="1"/>
  <c r="P275" i="1"/>
  <c r="AB275" i="1" s="1"/>
  <c r="U277" i="1"/>
  <c r="U276" i="1" s="1"/>
  <c r="P292" i="1"/>
  <c r="AB292" i="1" s="1"/>
  <c r="AD308" i="1"/>
  <c r="AB317" i="1"/>
  <c r="AB339" i="1"/>
  <c r="S344" i="1"/>
  <c r="AE344" i="1" s="1"/>
  <c r="R344" i="1"/>
  <c r="AD344" i="1" s="1"/>
  <c r="P348" i="1"/>
  <c r="AB348" i="1" s="1"/>
  <c r="V351" i="1"/>
  <c r="V350" i="1" s="1"/>
  <c r="P208" i="1"/>
  <c r="P212" i="1"/>
  <c r="AB212" i="1" s="1"/>
  <c r="P216" i="1"/>
  <c r="AB216" i="1" s="1"/>
  <c r="P220" i="1"/>
  <c r="AB220" i="1" s="1"/>
  <c r="R235" i="1"/>
  <c r="R234" i="1" s="1"/>
  <c r="L262" i="1"/>
  <c r="R275" i="1"/>
  <c r="AD275" i="1" s="1"/>
  <c r="AD262" i="1" s="1"/>
  <c r="AD251" i="1" s="1"/>
  <c r="AD277" i="1"/>
  <c r="AD276" i="1" s="1"/>
  <c r="R292" i="1"/>
  <c r="AD292" i="1" s="1"/>
  <c r="P301" i="1"/>
  <c r="L300" i="1"/>
  <c r="L285" i="1" s="1"/>
  <c r="W302" i="1"/>
  <c r="G356" i="1"/>
  <c r="G350" i="1" s="1"/>
  <c r="L362" i="1"/>
  <c r="P363" i="1"/>
  <c r="L282" i="1"/>
  <c r="U286" i="1"/>
  <c r="U285" i="1" s="1"/>
  <c r="P299" i="1"/>
  <c r="AB299" i="1" s="1"/>
  <c r="X302" i="1"/>
  <c r="P304" i="1"/>
  <c r="U324" i="1"/>
  <c r="U320" i="1" s="1"/>
  <c r="S342" i="1"/>
  <c r="R342" i="1"/>
  <c r="L324" i="1"/>
  <c r="R359" i="1"/>
  <c r="AD359" i="1" s="1"/>
  <c r="P359" i="1"/>
  <c r="N303" i="1"/>
  <c r="N302" i="1" s="1"/>
  <c r="S303" i="1"/>
  <c r="S302" i="1" s="1"/>
  <c r="AD325" i="1"/>
  <c r="AD324" i="1" s="1"/>
  <c r="R324" i="1"/>
  <c r="L334" i="1"/>
  <c r="P335" i="1"/>
  <c r="G286" i="1"/>
  <c r="R294" i="1"/>
  <c r="L356" i="1"/>
  <c r="P365" i="1"/>
  <c r="R365" i="1" s="1"/>
  <c r="R322" i="1"/>
  <c r="U337" i="1"/>
  <c r="U336" i="1" s="1"/>
  <c r="S343" i="1"/>
  <c r="AE343" i="1" s="1"/>
  <c r="R343" i="1"/>
  <c r="AD343" i="1" s="1"/>
  <c r="AB352" i="1"/>
  <c r="AB357" i="1"/>
  <c r="L368" i="1"/>
  <c r="L367" i="1" s="1"/>
  <c r="AE326" i="1"/>
  <c r="AE324" i="1" s="1"/>
  <c r="P330" i="1"/>
  <c r="AB344" i="1"/>
  <c r="Q352" i="1"/>
  <c r="Q351" i="1" s="1"/>
  <c r="R357" i="1"/>
  <c r="P369" i="1"/>
  <c r="S301" i="1"/>
  <c r="L337" i="1"/>
  <c r="L336" i="1" s="1"/>
  <c r="P310" i="1"/>
  <c r="AB310" i="1" s="1"/>
  <c r="P345" i="1"/>
  <c r="AL252" i="1" l="1"/>
  <c r="AA11" i="1"/>
  <c r="AK11" i="1"/>
  <c r="AH45" i="1"/>
  <c r="L303" i="1"/>
  <c r="L302" i="1" s="1"/>
  <c r="AH311" i="1"/>
  <c r="AL311" i="1" s="1"/>
  <c r="AL304" i="1"/>
  <c r="AH321" i="1"/>
  <c r="AH320" i="1" s="1"/>
  <c r="AL322" i="1"/>
  <c r="AL321" i="1" s="1"/>
  <c r="AL320" i="1" s="1"/>
  <c r="AJ224" i="1"/>
  <c r="AJ223" i="1" s="1"/>
  <c r="AJ11" i="1" s="1"/>
  <c r="AH282" i="1"/>
  <c r="AH276" i="1" s="1"/>
  <c r="AL283" i="1"/>
  <c r="AL282" i="1" s="1"/>
  <c r="AN369" i="1"/>
  <c r="AN368" i="1" s="1"/>
  <c r="AN367" i="1" s="1"/>
  <c r="U198" i="1"/>
  <c r="AL337" i="1"/>
  <c r="AL336" i="1" s="1"/>
  <c r="AH286" i="1"/>
  <c r="AH285" i="1" s="1"/>
  <c r="AL287" i="1"/>
  <c r="AL286" i="1" s="1"/>
  <c r="AL285" i="1" s="1"/>
  <c r="AL72" i="1"/>
  <c r="AH368" i="1"/>
  <c r="AH367" i="1" s="1"/>
  <c r="L350" i="1"/>
  <c r="Q321" i="1"/>
  <c r="Q320" i="1" s="1"/>
  <c r="J11" i="1"/>
  <c r="AN251" i="1"/>
  <c r="AN262" i="1"/>
  <c r="AH224" i="1"/>
  <c r="AH223" i="1" s="1"/>
  <c r="AL225" i="1"/>
  <c r="AL224" i="1" s="1"/>
  <c r="AL223" i="1" s="1"/>
  <c r="Z11" i="1"/>
  <c r="AL28" i="1"/>
  <c r="AL21" i="1" s="1"/>
  <c r="AO29" i="1"/>
  <c r="AO28" i="1" s="1"/>
  <c r="AL47" i="1"/>
  <c r="AL46" i="1" s="1"/>
  <c r="AL14" i="1"/>
  <c r="AL13" i="1" s="1"/>
  <c r="AL12" i="1" s="1"/>
  <c r="AH13" i="1"/>
  <c r="AH12" i="1" s="1"/>
  <c r="AH199" i="1"/>
  <c r="AH324" i="1"/>
  <c r="P230" i="1"/>
  <c r="AH230" i="1"/>
  <c r="AL230" i="1" s="1"/>
  <c r="P306" i="1"/>
  <c r="AB306" i="1" s="1"/>
  <c r="AH306" i="1"/>
  <c r="AL306" i="1" s="1"/>
  <c r="AL371" i="1"/>
  <c r="AL368" i="1" s="1"/>
  <c r="AL367" i="1" s="1"/>
  <c r="AO22" i="1"/>
  <c r="AL352" i="1"/>
  <c r="AD303" i="1"/>
  <c r="AD302" i="1" s="1"/>
  <c r="P13" i="1"/>
  <c r="P12" i="1" s="1"/>
  <c r="U251" i="1"/>
  <c r="U353" i="1"/>
  <c r="AH353" i="1" s="1"/>
  <c r="AH351" i="1" s="1"/>
  <c r="AH350" i="1" s="1"/>
  <c r="AI353" i="1"/>
  <c r="AO286" i="1"/>
  <c r="AO285" i="1" s="1"/>
  <c r="AL324" i="1"/>
  <c r="AH356" i="1"/>
  <c r="AL357" i="1"/>
  <c r="AO175" i="1"/>
  <c r="AL210" i="1"/>
  <c r="AL207" i="1" s="1"/>
  <c r="AH207" i="1"/>
  <c r="AL199" i="1"/>
  <c r="AL362" i="1"/>
  <c r="P305" i="1"/>
  <c r="AB305" i="1" s="1"/>
  <c r="AH305" i="1"/>
  <c r="AL305" i="1" s="1"/>
  <c r="AL276" i="1"/>
  <c r="AM247" i="1"/>
  <c r="AM246" i="1" s="1"/>
  <c r="AM234" i="1" s="1"/>
  <c r="AL246" i="1"/>
  <c r="AH237" i="1"/>
  <c r="G285" i="1"/>
  <c r="Q350" i="1"/>
  <c r="R288" i="1"/>
  <c r="L224" i="1"/>
  <c r="L223" i="1" s="1"/>
  <c r="P321" i="1"/>
  <c r="P226" i="1"/>
  <c r="AB226" i="1" s="1"/>
  <c r="AH177" i="1"/>
  <c r="AH175" i="1" s="1"/>
  <c r="AL178" i="1"/>
  <c r="AL177" i="1" s="1"/>
  <c r="AL175" i="1" s="1"/>
  <c r="AH262" i="1"/>
  <c r="AL263" i="1"/>
  <c r="AL262" i="1" s="1"/>
  <c r="AH252" i="1"/>
  <c r="AH251" i="1" s="1"/>
  <c r="AE317" i="1"/>
  <c r="AE303" i="1" s="1"/>
  <c r="AE302" i="1" s="1"/>
  <c r="AB13" i="1"/>
  <c r="AB12" i="1" s="1"/>
  <c r="O11" i="1"/>
  <c r="I11" i="1"/>
  <c r="AE286" i="1"/>
  <c r="S286" i="1"/>
  <c r="P235" i="1"/>
  <c r="P234" i="1" s="1"/>
  <c r="H11" i="1"/>
  <c r="AD21" i="1"/>
  <c r="Y11" i="1"/>
  <c r="Q11" i="1"/>
  <c r="L198" i="1"/>
  <c r="S324" i="1"/>
  <c r="AB22" i="1"/>
  <c r="T11" i="1"/>
  <c r="P274" i="1"/>
  <c r="AB274" i="1" s="1"/>
  <c r="K11" i="1"/>
  <c r="AC356" i="1"/>
  <c r="AC350" i="1" s="1"/>
  <c r="G198" i="1"/>
  <c r="AB286" i="1"/>
  <c r="U175" i="1"/>
  <c r="AC235" i="1"/>
  <c r="P229" i="1"/>
  <c r="AD355" i="1"/>
  <c r="AD351" i="1" s="1"/>
  <c r="R351" i="1"/>
  <c r="P355" i="1"/>
  <c r="V11" i="1"/>
  <c r="S177" i="1"/>
  <c r="S175" i="1" s="1"/>
  <c r="W11" i="1"/>
  <c r="P286" i="1"/>
  <c r="R21" i="1"/>
  <c r="M11" i="1"/>
  <c r="N11" i="1"/>
  <c r="L320" i="1"/>
  <c r="L276" i="1"/>
  <c r="L235" i="1"/>
  <c r="AE177" i="1"/>
  <c r="AE175" i="1" s="1"/>
  <c r="AE238" i="1"/>
  <c r="AO238" i="1" s="1"/>
  <c r="AO235" i="1" s="1"/>
  <c r="AO234" i="1" s="1"/>
  <c r="S277" i="1"/>
  <c r="S276" i="1" s="1"/>
  <c r="AE281" i="1"/>
  <c r="AE277" i="1" s="1"/>
  <c r="AE276" i="1" s="1"/>
  <c r="AD322" i="1"/>
  <c r="AN322" i="1" s="1"/>
  <c r="AN321" i="1" s="1"/>
  <c r="AN320" i="1" s="1"/>
  <c r="R321" i="1"/>
  <c r="R320" i="1" s="1"/>
  <c r="S235" i="1"/>
  <c r="S234" i="1" s="1"/>
  <c r="AE236" i="1"/>
  <c r="AB253" i="1"/>
  <c r="AB252" i="1" s="1"/>
  <c r="P252" i="1"/>
  <c r="AD357" i="1"/>
  <c r="AD356" i="1" s="1"/>
  <c r="R356" i="1"/>
  <c r="S335" i="1"/>
  <c r="AB335" i="1"/>
  <c r="AB334" i="1" s="1"/>
  <c r="P334" i="1"/>
  <c r="AB363" i="1"/>
  <c r="R363" i="1"/>
  <c r="R362" i="1" s="1"/>
  <c r="P362" i="1"/>
  <c r="R303" i="1"/>
  <c r="R302" i="1" s="1"/>
  <c r="AB235" i="1"/>
  <c r="G175" i="1"/>
  <c r="G176" i="1"/>
  <c r="L251" i="1"/>
  <c r="S300" i="1"/>
  <c r="AE301" i="1"/>
  <c r="AE300" i="1" s="1"/>
  <c r="AE285" i="1" s="1"/>
  <c r="R199" i="1"/>
  <c r="R198" i="1" s="1"/>
  <c r="R337" i="1"/>
  <c r="R336" i="1" s="1"/>
  <c r="AD342" i="1"/>
  <c r="AD337" i="1" s="1"/>
  <c r="AD336" i="1" s="1"/>
  <c r="AE342" i="1"/>
  <c r="AE337" i="1" s="1"/>
  <c r="AE336" i="1" s="1"/>
  <c r="S337" i="1"/>
  <c r="S336" i="1" s="1"/>
  <c r="AE275" i="1"/>
  <c r="AE262" i="1" s="1"/>
  <c r="AB301" i="1"/>
  <c r="AB300" i="1" s="1"/>
  <c r="AB285" i="1" s="1"/>
  <c r="P300" i="1"/>
  <c r="S225" i="1"/>
  <c r="AB225" i="1"/>
  <c r="AB206" i="1"/>
  <c r="AB199" i="1" s="1"/>
  <c r="R206" i="1"/>
  <c r="AB208" i="1"/>
  <c r="AB207" i="1" s="1"/>
  <c r="P207" i="1"/>
  <c r="S275" i="1"/>
  <c r="S262" i="1" s="1"/>
  <c r="P266" i="1"/>
  <c r="AB178" i="1"/>
  <c r="AB177" i="1" s="1"/>
  <c r="AB175" i="1" s="1"/>
  <c r="P177" i="1"/>
  <c r="P175" i="1" s="1"/>
  <c r="AB246" i="1"/>
  <c r="AC248" i="1"/>
  <c r="AC246" i="1" s="1"/>
  <c r="AC234" i="1" s="1"/>
  <c r="AC11" i="1" s="1"/>
  <c r="AB330" i="1"/>
  <c r="AB324" i="1" s="1"/>
  <c r="P324" i="1"/>
  <c r="AB359" i="1"/>
  <c r="AB356" i="1" s="1"/>
  <c r="P356" i="1"/>
  <c r="R262" i="1"/>
  <c r="R251" i="1" s="1"/>
  <c r="R224" i="1"/>
  <c r="R223" i="1" s="1"/>
  <c r="AD226" i="1"/>
  <c r="AD224" i="1" s="1"/>
  <c r="AD223" i="1" s="1"/>
  <c r="AB279" i="1"/>
  <c r="AB277" i="1" s="1"/>
  <c r="AB276" i="1" s="1"/>
  <c r="P277" i="1"/>
  <c r="P276" i="1" s="1"/>
  <c r="P28" i="1"/>
  <c r="P21" i="1" s="1"/>
  <c r="AB29" i="1"/>
  <c r="S29" i="1"/>
  <c r="S28" i="1" s="1"/>
  <c r="S21" i="1" s="1"/>
  <c r="AB47" i="1"/>
  <c r="AB46" i="1" s="1"/>
  <c r="AB45" i="1" s="1"/>
  <c r="P46" i="1"/>
  <c r="P45" i="1" s="1"/>
  <c r="X11" i="1"/>
  <c r="G45" i="1"/>
  <c r="L246" i="1"/>
  <c r="AB369" i="1"/>
  <c r="P368" i="1"/>
  <c r="P367" i="1" s="1"/>
  <c r="S252" i="1"/>
  <c r="AE257" i="1"/>
  <c r="AE252" i="1" s="1"/>
  <c r="AB345" i="1"/>
  <c r="AB337" i="1" s="1"/>
  <c r="AB336" i="1" s="1"/>
  <c r="P337" i="1"/>
  <c r="P336" i="1" s="1"/>
  <c r="AB304" i="1"/>
  <c r="AD288" i="1"/>
  <c r="AD286" i="1" s="1"/>
  <c r="AD285" i="1" s="1"/>
  <c r="R286" i="1"/>
  <c r="R285" i="1" s="1"/>
  <c r="P311" i="1"/>
  <c r="AB311" i="1" s="1"/>
  <c r="AB42" i="1"/>
  <c r="AB39" i="1" s="1"/>
  <c r="P39" i="1"/>
  <c r="P199" i="1"/>
  <c r="AO72" i="1" l="1"/>
  <c r="AO48" i="1" s="1"/>
  <c r="AO45" i="1" s="1"/>
  <c r="AL48" i="1"/>
  <c r="AD350" i="1"/>
  <c r="P224" i="1"/>
  <c r="P223" i="1" s="1"/>
  <c r="S285" i="1"/>
  <c r="S226" i="1"/>
  <c r="AE226" i="1" s="1"/>
  <c r="AN357" i="1"/>
  <c r="AN356" i="1" s="1"/>
  <c r="AN350" i="1" s="1"/>
  <c r="AN11" i="1" s="1"/>
  <c r="AL356" i="1"/>
  <c r="AL45" i="1"/>
  <c r="AE235" i="1"/>
  <c r="AE234" i="1" s="1"/>
  <c r="AH303" i="1"/>
  <c r="AH302" i="1" s="1"/>
  <c r="AL251" i="1"/>
  <c r="AM353" i="1"/>
  <c r="AI351" i="1"/>
  <c r="AI350" i="1" s="1"/>
  <c r="AI11" i="1" s="1"/>
  <c r="U351" i="1"/>
  <c r="U350" i="1" s="1"/>
  <c r="U11" i="1" s="1"/>
  <c r="P303" i="1"/>
  <c r="P302" i="1" s="1"/>
  <c r="L234" i="1"/>
  <c r="L11" i="1" s="1"/>
  <c r="AB320" i="1"/>
  <c r="AL303" i="1"/>
  <c r="AL302" i="1" s="1"/>
  <c r="AB224" i="1"/>
  <c r="AB223" i="1" s="1"/>
  <c r="P198" i="1"/>
  <c r="AL237" i="1"/>
  <c r="AL235" i="1" s="1"/>
  <c r="AL234" i="1" s="1"/>
  <c r="AH235" i="1"/>
  <c r="AH234" i="1" s="1"/>
  <c r="AL198" i="1"/>
  <c r="AO21" i="1"/>
  <c r="AO11" i="1" s="1"/>
  <c r="AH198" i="1"/>
  <c r="AH11" i="1" s="1"/>
  <c r="AB198" i="1"/>
  <c r="AB234" i="1"/>
  <c r="R350" i="1"/>
  <c r="R11" i="1" s="1"/>
  <c r="AB355" i="1"/>
  <c r="AB351" i="1" s="1"/>
  <c r="AB350" i="1" s="1"/>
  <c r="P351" i="1"/>
  <c r="P350" i="1" s="1"/>
  <c r="P285" i="1"/>
  <c r="P320" i="1"/>
  <c r="AB303" i="1"/>
  <c r="AB302" i="1" s="1"/>
  <c r="AE225" i="1"/>
  <c r="AE224" i="1" s="1"/>
  <c r="AE223" i="1" s="1"/>
  <c r="S224" i="1"/>
  <c r="S223" i="1" s="1"/>
  <c r="AD363" i="1"/>
  <c r="AD362" i="1" s="1"/>
  <c r="AB362" i="1"/>
  <c r="AB266" i="1"/>
  <c r="AB262" i="1" s="1"/>
  <c r="AB251" i="1" s="1"/>
  <c r="P262" i="1"/>
  <c r="P251" i="1" s="1"/>
  <c r="AE251" i="1"/>
  <c r="G11" i="1"/>
  <c r="AE29" i="1"/>
  <c r="AE28" i="1" s="1"/>
  <c r="AE21" i="1" s="1"/>
  <c r="AB28" i="1"/>
  <c r="AB21" i="1" s="1"/>
  <c r="AD321" i="1"/>
  <c r="AD320" i="1" s="1"/>
  <c r="S251" i="1"/>
  <c r="AB368" i="1"/>
  <c r="AB367" i="1" s="1"/>
  <c r="AD369" i="1"/>
  <c r="AD368" i="1" s="1"/>
  <c r="AD367" i="1" s="1"/>
  <c r="S334" i="1"/>
  <c r="S320" i="1" s="1"/>
  <c r="AE335" i="1"/>
  <c r="AE334" i="1" s="1"/>
  <c r="AE320" i="1" s="1"/>
  <c r="AL11" i="1" l="1"/>
  <c r="AL353" i="1"/>
  <c r="AL351" i="1" s="1"/>
  <c r="AL350" i="1" s="1"/>
  <c r="AM351" i="1"/>
  <c r="AM350" i="1" s="1"/>
  <c r="AM11" i="1" s="1"/>
  <c r="P11" i="1"/>
  <c r="AD11" i="1"/>
  <c r="AE11" i="1"/>
  <c r="S11" i="1"/>
</calcChain>
</file>

<file path=xl/sharedStrings.xml><?xml version="1.0" encoding="utf-8"?>
<sst xmlns="http://schemas.openxmlformats.org/spreadsheetml/2006/main" count="1161" uniqueCount="676">
  <si>
    <t xml:space="preserve">      ỦY BAN NHÂN DÂN</t>
  </si>
  <si>
    <t xml:space="preserve">                 CỘNG HÒA XÃ HỘI CHỦ NGHĨA VIỆT NAM</t>
  </si>
  <si>
    <t xml:space="preserve">  PHƯỜNG QUẢNG THUẬN</t>
  </si>
  <si>
    <t>Độc lập - Tự do - Hạnh phúc</t>
  </si>
  <si>
    <t>PHỤ LỤC DANH MỤC CÔNG NỢ TRÊN ĐỊA BÀN THỊ XÃ ĐẾN 31/10/2024</t>
  </si>
  <si>
    <t>Đơn vị tính: Triệu đồng</t>
  </si>
  <si>
    <t>TT</t>
  </si>
  <si>
    <t>Danh mục
 dự án</t>
  </si>
  <si>
    <t>Địa điểm XD</t>
  </si>
  <si>
    <t>Khởi công</t>
  </si>
  <si>
    <t>Hoàn thành</t>
  </si>
  <si>
    <t>Quyết định đầu tư</t>
  </si>
  <si>
    <t>Lũy kế khối lượng thực hiện (Giá trị nghiệm thu hoặc quyết toán) đến hết 31/12/2023</t>
  </si>
  <si>
    <t>Lũy kế giải ngân từ KC 
đến 31/12/2023</t>
  </si>
  <si>
    <t>Nợ XDCB đến 31/12/2023 
(Khối lượng thực hiện đến hết 31/12/2023 chưa được thanh toán)</t>
  </si>
  <si>
    <t>Bố trí vốn năm 2024</t>
  </si>
  <si>
    <t>Lũy kế khối lượng thực hiện đến hết 31/10/2024  (giai đoạn, chưa hoàn thành)</t>
  </si>
  <si>
    <t xml:space="preserve">Lũy kế khối lượng thực hiện (Giá trị nghiệm thu hoặc quyết toán) đến hết 31/10/2024 (Nghiệm thu hoàn thành) </t>
  </si>
  <si>
    <t>Lũy kế giải ngân từ khởi công
đến 31/10/2024</t>
  </si>
  <si>
    <t>Nợ XDCB tính theo giá trị nghiệm thu hoàn thành hoặc tính theo tổng mức đầu tư đối với nghiệm thu chưa hoàn thành đến 31/10/2024</t>
  </si>
  <si>
    <t>QĐ phê duyệt dự án</t>
  </si>
  <si>
    <t>TMĐT</t>
  </si>
  <si>
    <t>Tổng số
(tất cả các nguồn vốn)</t>
  </si>
  <si>
    <t>Trong đó</t>
  </si>
  <si>
    <t>NS tỉnh</t>
  </si>
  <si>
    <t>NS
Thị xã</t>
  </si>
  <si>
    <t>NS xã, 
phường và các nguồn khác</t>
  </si>
  <si>
    <t>NS thị xã</t>
  </si>
  <si>
    <t>NS xã, phường</t>
  </si>
  <si>
    <t>NS xã, phường và các nguồn vốn khác</t>
  </si>
  <si>
    <t xml:space="preserve">Trả nợ năm 2023 </t>
  </si>
  <si>
    <t>Thanh toán khối lượng hoàn thành năm 2024</t>
  </si>
  <si>
    <t>16=11-12</t>
  </si>
  <si>
    <t>28=(16+20)-21</t>
  </si>
  <si>
    <t>34=12+21</t>
  </si>
  <si>
    <t>35=13+22+23</t>
  </si>
  <si>
    <t>36=14+24+25</t>
  </si>
  <si>
    <t>37=15+26+27</t>
  </si>
  <si>
    <t>38=33-34 hoặc 38=7-34</t>
  </si>
  <si>
    <t>39=8-35</t>
  </si>
  <si>
    <t>TỔNG SỐ</t>
  </si>
  <si>
    <t>PHƯỜNG QUẢNG PHÚC</t>
  </si>
  <si>
    <t>I</t>
  </si>
  <si>
    <t>NGÂN SÁCH TX QUẢN LÝ</t>
  </si>
  <si>
    <t>Xây dựng các phòng học và phòng chức năng trường mầm non phường Quảng Phúc khu vực Đơn sa</t>
  </si>
  <si>
    <t>P. Quảng Phúc</t>
  </si>
  <si>
    <t>Số: 570/QĐ-UBND ngày 07/04/2022</t>
  </si>
  <si>
    <t>Xây dựng tuyến đường giao thông bê tông nội vùng TDP Đơn Sa phường Quảng Phúc</t>
  </si>
  <si>
    <t>Số: 477/QĐ-UBND ngày 01/05/2022</t>
  </si>
  <si>
    <t>Khắc phục khẩn cấp các tuyến đường lầy lội TDP Đơn Sa, phường Quảng Phúc</t>
  </si>
  <si>
    <t>Số:1429/QĐ-UBND ngày 22/07/2022</t>
  </si>
  <si>
    <t>Các tuyến đường liên thôn Đơn Sa - Diên Phúc phường Quảng Phúc</t>
  </si>
  <si>
    <t>Số:614/QĐ-UBND ngày10/08/2022</t>
  </si>
  <si>
    <t>Xây dựng cơ sở vật chất đạt chuẩn quốc gia trường Tiểu học số 2 Quảng Phúc</t>
  </si>
  <si>
    <t>số: 486/ QĐ-UBND ngày 22/03/ 2023</t>
  </si>
  <si>
    <t>Bê tông hoá kênh mương phục vụ sản xuất nông nghiệp đập ông Hữu TDP Đơn Sa</t>
  </si>
  <si>
    <t>số: 2324 QĐ-UBND ngày 04/10/2023</t>
  </si>
  <si>
    <t>Hệ thống kênh mương nội đồng phường Quảng Phúc</t>
  </si>
  <si>
    <t>PHƯỜNG QUẢNG THUẬN</t>
  </si>
  <si>
    <t>02 cống ngăn mặn TDP Thuận Bài, phường Quảng Thuận</t>
  </si>
  <si>
    <t>Quảng Thuận</t>
  </si>
  <si>
    <t>2021</t>
  </si>
  <si>
    <t>Số 1883
ngày 16/08/2021</t>
  </si>
  <si>
    <t>Xây dựng các tuyến mương thoát lũ kết hợp mở rộng đường giao thông từ khu dân cư TDP Đình Chùa +Bến Chợ ra Sông Gianh</t>
  </si>
  <si>
    <t>3528 ngày 23/12/2021 của UBND thị xã Ba Đồn</t>
  </si>
  <si>
    <t>Các tuyến đường liên TDP Bến Chợ đến Me Hội phường Quảng Thuận</t>
  </si>
  <si>
    <t>531 ngày 30/03/2022 của UBND thị xã Ba Đồn</t>
  </si>
  <si>
    <t>Tuyến đường từ Trạm y tế Me Hội đến nhà Mệ Lỏng phường Quảng Thuận</t>
  </si>
  <si>
    <t>QĐ số 1053/QĐ-UBND ngày 06/6/2023 của UBND thị xã</t>
  </si>
  <si>
    <t>Nâng cấp kênh tưới, tiêu kết hợp đường tại TDP Đình Chùa phường Quảng Thuận</t>
  </si>
  <si>
    <t>QĐ số 1429/QĐ-UBND ngày 13/7/2023 của UBND thị xã</t>
  </si>
  <si>
    <t>II</t>
  </si>
  <si>
    <t>NS PHƯỜNG QUẢN LÝ</t>
  </si>
  <si>
    <t>Khắc phục, sửa chữa tuyến kênh tưới từ hồ Tam Giác đến giếng Cây Đa TDP Dinh phường Quảng Thuận</t>
  </si>
  <si>
    <t>Số 162/QĐ-UBND ngày 26/08/2020 của UBND phường Quảng Thuận</t>
  </si>
  <si>
    <t xml:space="preserve">Xây dựng mới Nhà văn hóa, khuôn viên, nhà vệ sinh tổ dân phố Cầu, phường Quảng Thuận </t>
  </si>
  <si>
    <t>Số 859 ngày 30/08/2021 của UBND phường Quảng Thuận</t>
  </si>
  <si>
    <t>Cải tạo, nâng cấp tầng 2 trường Mầm non Quảng Thuận khu vực 2</t>
  </si>
  <si>
    <t>Số 825a/QĐ-UBND ngày 25/08/2021 của UBND phường Quảng Thuận</t>
  </si>
  <si>
    <t>Cổng, tường rào, khuôn viên Công an phường Quảng Thuận</t>
  </si>
  <si>
    <t>Số 1457/QĐ-UBND ngày 08/12/2021 của UBND phường Quảng Thuận</t>
  </si>
  <si>
    <t>Nâng cấp hệ thống phát thanh phường Quảng thuận</t>
  </si>
  <si>
    <t>Số 1510/QĐ-UBND ngày 17/12/2021 của UBND phường Quảng Thuận</t>
  </si>
  <si>
    <t>KCH các tuyến đường giao thông trên địa bàn phường Quảng Thuận</t>
  </si>
  <si>
    <t>778 ngày 12/8/2022 của UBND phường</t>
  </si>
  <si>
    <t>Xây dựng nhà vệ sinh khép kín cho trẻ, nhà bảo vệ, gara xe Trường mầm non</t>
  </si>
  <si>
    <t>777 ngày 12/08/2022 của UBND phường</t>
  </si>
  <si>
    <t>Xây mới cống ngăn mặn, thoát lũ Mụ Rói</t>
  </si>
  <si>
    <t>Số 752/QĐ-UBND ngày 28/09/2023 của UBND phường</t>
  </si>
  <si>
    <t>Xây mới hàng rào, sửa chữa khuôn viên Ủy ban nhân dân phường</t>
  </si>
  <si>
    <t>Số 742/QĐ-UBND ngày 19/09/2023 của UBND phường</t>
  </si>
  <si>
    <t>Cải tạo, sửa chữa hệ thống cửa và sơn lại dãy phòng học Trường tiểu
học Quảng Thuận</t>
  </si>
  <si>
    <t>Số 900/QĐ-UBND ngày 13/11/2023 của UBND phường</t>
  </si>
  <si>
    <t>PHƯỜNG QUẢNG THỌ</t>
  </si>
  <si>
    <t>B3</t>
  </si>
  <si>
    <t>NỢ XDCB</t>
  </si>
  <si>
    <t>Nâng cấp các tuyến đường giao thông phường Quảng Thọ (Tuyến TDP Minh Lợi 1.525m; Tuyến TDP Thọ Đơn 1.645m; Tuyến TDP Nhân Thọ 1.480; Tuyến TDP Minh Phượng 350m)</t>
  </si>
  <si>
    <t>Q Thọ</t>
  </si>
  <si>
    <t>Số 09/2021/NQ-HĐND ngày 06/7/2021</t>
  </si>
  <si>
    <t>Nâng cấp hệ thống thoát nước kết hợp mở rộng mặt đường TDP Thọ Đơn, phường Quảng Thọ.</t>
  </si>
  <si>
    <t xml:space="preserve">Số 68/NQ-HĐND thị xã ngày 28/12/2021 </t>
  </si>
  <si>
    <t>Nâng cấp mở rộng hệ thống đường giao thông TDP Minh Lợi - Nhân Thọ phường Quảng Thọ</t>
  </si>
  <si>
    <t>Số QĐ: 249/QĐ-UBND phường ngày 24/10/2023</t>
  </si>
  <si>
    <t>Đường giao thông vào khu quy hoạch và đi làng nghề TDP Thọ Đơn (giai đoạn 1)</t>
  </si>
  <si>
    <t>Số QĐ: 273/QĐ-UBND phường ngày 17/11/2023</t>
  </si>
  <si>
    <t>PHƯỜNG BA ĐỒN</t>
  </si>
  <si>
    <t>Hạ tầng kết nối các tuyến đường giao thông KP1, KP3, KP5, KP6 trên địa bàn phường Ba Đồn</t>
  </si>
  <si>
    <t>P. Ba Đồn</t>
  </si>
  <si>
    <t>10/2023</t>
  </si>
  <si>
    <t xml:space="preserve">số 1662/QĐ-UBND ngày 08/08/2023 của UBND TX Ba Đồn </t>
  </si>
  <si>
    <t>NGÂN SÁCH PH QUẢN LÝ</t>
  </si>
  <si>
    <t>Xây dựng tuyến điện chiếu sáng trước cửa đình làng Ba Đồn</t>
  </si>
  <si>
    <t>08/2020</t>
  </si>
  <si>
    <t>03/2021</t>
  </si>
  <si>
    <t>144/QĐ - UBND ngày 21/01/2022 của UBND phường Ba Đồn</t>
  </si>
  <si>
    <t>Hành lang và điện chiếu sáng khu dân cư khu vực khuôn viên cây xanh khu phố 5 phường Ba Đồn</t>
  </si>
  <si>
    <t>143/QĐ - UBND ngày 21/01/2022 của UBND phường Ba Đồn</t>
  </si>
  <si>
    <t>Nâng cấp trường THCS Ba Đồn</t>
  </si>
  <si>
    <t>11/2020</t>
  </si>
  <si>
    <t>1265/QĐ - UBND ngày 26/10/2022 của UBND phường Ba Đồn</t>
  </si>
  <si>
    <t>Sửa chữa cải tạo các dãy phòng học, nhà hiệu bộ, sân trường THCS Nguyễn Hàm Ninh</t>
  </si>
  <si>
    <t>08/2021</t>
  </si>
  <si>
    <t>02/2022</t>
  </si>
  <si>
    <t>1281/QĐ - UBND ngày 06/07/2022 của UBND phường Ba Đồn</t>
  </si>
  <si>
    <t>Cải tạo nền nhà trụ sở UBND phường Ba Đồn</t>
  </si>
  <si>
    <t>11/2006</t>
  </si>
  <si>
    <t>12/2006</t>
  </si>
  <si>
    <t>112/QĐ - UBND ngày 28/10/2006 của UBND thị trấn Ba Đồn</t>
  </si>
  <si>
    <t>Sân bê tông trường THCS Ba Đồn</t>
  </si>
  <si>
    <t>Nhà vệ sinh cho học sinh và giáo viên trường THCS Ba Đồn</t>
  </si>
  <si>
    <t>1039/QĐ - UBND ngày 14/12/2021 của UBND phường Ba Đồn</t>
  </si>
  <si>
    <t>Nâng cấp, sửa chữa trụ sở UBND phường Ba Đồn</t>
  </si>
  <si>
    <t>2022</t>
  </si>
  <si>
    <t>570/QĐ - UBND ngày 30/03/2022 của UBND phường Ba Đồn</t>
  </si>
  <si>
    <t>Xử lý khẩn cấp hệ thống mương thoát nước khu phố 6 phường Ba Đồn</t>
  </si>
  <si>
    <t>881/QĐ - UBND ngày 29/06/2022 của UBND phường Ba Đồn</t>
  </si>
  <si>
    <t>Xây dựng Nhà văn hóa khu phố 6</t>
  </si>
  <si>
    <t xml:space="preserve">số 1212/QĐ-UBND ngày 11/10/2022 của UBND phường Ba Đồn </t>
  </si>
  <si>
    <t>Sửa chữa, cải tạo cổng, hàng rào phía đông trường THCS Ba Đồn</t>
  </si>
  <si>
    <t>số 1422/QĐ-UBND ngày 14/12/2022 của UBND phường Ba Đồn</t>
  </si>
  <si>
    <t>Xử lý hệ thống thoát nước và xây dựng đoạn đường nối từ đường Chu Văn An đi cụm dân cư KP3 và đoạn đường từ quán cafe Hoàng Long đi đường Lâm Úy KP1</t>
  </si>
  <si>
    <t>số 1328/QĐ-UBND ngày 16/11/2022 của UBND phường Ba Đồn</t>
  </si>
  <si>
    <t>Cải tạo mái nhà văn hóa KP1, nhà vệ sinh và cửa nhà văn hóa KP3 phường Ba Đồn; phòng tiếp dân trụ sở công an phường Ba Đồn</t>
  </si>
  <si>
    <t>1423/QĐ-UBND ngày 14/12/2022 của UBND phường Ba Đồn</t>
  </si>
  <si>
    <t>Xây dựng tường rào phía đông, phía tây và phía nam trường Tiểu học số 1 Ba Đồn</t>
  </si>
  <si>
    <t>12/2021</t>
  </si>
  <si>
    <t xml:space="preserve">số 3703/QĐ-UBND ngày 31/12/2021 của UBND phường Ba Đồn </t>
  </si>
  <si>
    <t>Hệ thống thoát nước tổ an ninh số 6, khu phố 2</t>
  </si>
  <si>
    <t xml:space="preserve">số 28/QĐ-UBND ngày 19/8/2021 của UBND phường Ba Đồn </t>
  </si>
  <si>
    <t>Lắp đặt sửa chữa hệ thống loa truyền thanh và vật tư, thiết bị phục vụ công tác UBND phường Ba Đồn</t>
  </si>
  <si>
    <t>2023</t>
  </si>
  <si>
    <t xml:space="preserve">số 548/QĐ-UBND ngày 13/7/2023 của UBND phường Ba Đồn </t>
  </si>
  <si>
    <t>Xây dựng nhà vệ sinh trường Tiểu học số 1 Ba Đồn</t>
  </si>
  <si>
    <t xml:space="preserve">số 580/QĐ-UBND ngày 21/7/2023 của UBND phường Ba Đồn </t>
  </si>
  <si>
    <t>Sơn lại các dãy nhà, hàng rào và xây dựng các hạng mục phụ trợ trường THCS Nguyễn Hàm Ninh</t>
  </si>
  <si>
    <t xml:space="preserve">số 573/QĐ-UBND ngày 18/7/2023 của UBND phường Ba Đồn </t>
  </si>
  <si>
    <t>Sửa chữa nhà vệ sinh các lớp học dãy nhà 2 tầng tại cơ sở 1 trường Mầm non Ba Đồn</t>
  </si>
  <si>
    <t>08/2023</t>
  </si>
  <si>
    <t xml:space="preserve">số 611/QĐ-UBND ngày 31/07/2023 của UBND phường Ba Đồn </t>
  </si>
  <si>
    <t>Lát gạch sân chào cờ Trường tiểu học số 2 Ba Đồn</t>
  </si>
  <si>
    <t>08/2022</t>
  </si>
  <si>
    <t>8/2022</t>
  </si>
  <si>
    <t>Số 671/QĐ - UBND phường Ba Đồn ngày 18/04/2022</t>
  </si>
  <si>
    <t>Chỉnh trang đô thị, xây dựng tuyến đường bê tông khu phố 4, phường Ba Đồn</t>
  </si>
  <si>
    <t>1360/QĐ-UBND ngày 22/11/2022 của UBND phường Ba Đồn</t>
  </si>
  <si>
    <t>Hệ thống cửa, mái dãy nhà 02 tầng, hệ thống thoát nước trường Tiểu học số 2 Ba Đồn</t>
  </si>
  <si>
    <t>80/QĐ-UBND ngày 16/02/2023 của UBND phường Ba Đồn</t>
  </si>
  <si>
    <t>Sửa chữa, cải tạo nhà lớp học 2 tầng 10 phòng, dãy phòng học 2 tầng 8 phòng và các hạng mục phụ trợ trường THCS Ba Đồn</t>
  </si>
  <si>
    <t>2025</t>
  </si>
  <si>
    <t>Số 553/QĐ - UBND phường Ba Đồn ngày 14/7/2023</t>
  </si>
  <si>
    <t>Khắc phục khẩn cấp tuyến đường giao thông KP3, phường Ba Đồn, thị xã Ba Đồn</t>
  </si>
  <si>
    <t>2020</t>
  </si>
  <si>
    <t xml:space="preserve">Số 2085a/QĐ - UBND phường Ba Đồn ngày 28/08/2020 </t>
  </si>
  <si>
    <t>PHƯỜNG QUẢNG LONG</t>
  </si>
  <si>
    <t>Xây dựng khối phòng học chức năng, nhà bảo vệ và các hạng mục phụ trợ Trường mầm non Quảng Long, điểm trường Tiền Phong</t>
  </si>
  <si>
    <t>Quảng 
Long</t>
  </si>
  <si>
    <t>Số 350/QĐ-UBND ngày 26/02/2024 của UBND Thị xã Ba Đồn</t>
  </si>
  <si>
    <t>NGÂN SÁCH XÃ</t>
  </si>
  <si>
    <t>Khắc phục khẩn cấp sạt lở Khe Mật 1 và Khe Mật 2 phường Quảng Long</t>
  </si>
  <si>
    <t>95 UBND phường
21/05/2020</t>
  </si>
  <si>
    <t xml:space="preserve"> Hạ tầng đường giao thông nội vùng TDP Tiền Phong</t>
  </si>
  <si>
    <t>Số 106 ngày 14/04/2021 của UBND phường</t>
  </si>
  <si>
    <t>Hệ thống hạ tầng kỷ thuật trên địa bàn phường Quảng Long</t>
  </si>
  <si>
    <t>QĐ Số 116/QĐ-UBND ngày 28/4/2021</t>
  </si>
  <si>
    <t>Các tuyến đường TDP Chính Trực phường QL (Gói 1)</t>
  </si>
  <si>
    <t>Số 204/QĐ-UBND ngày
 21/06/2021 của UBND phường</t>
  </si>
  <si>
    <t>Các tuyến đường TDP Chính Trực phường QL (Gói 2)</t>
  </si>
  <si>
    <t>Số 205/QĐ-UBND ngày
 21/06/2021 của UBND phường</t>
  </si>
  <si>
    <t>Hệ thống đường GT khu dân cư Tiền Phong TX Ba Đồn</t>
  </si>
  <si>
    <t>Số 206/QĐ-UBND ngày
 21/06/2021 của UBND phường</t>
  </si>
  <si>
    <t>Các tuyến đường TDP Thủy Sơn và kè khe mật 1 phường QL</t>
  </si>
  <si>
    <t>QĐ số 252/QĐ-UBND ngày 10/08/2021 của UBND phường</t>
  </si>
  <si>
    <t>Các tuyến đường TDP Thủy Sơn và kè khe mật 2 phường QL</t>
  </si>
  <si>
    <t>QĐ số 253/QĐ-UBND ngày 10/08/2021 của UBND phường</t>
  </si>
  <si>
    <t>Hạ tầng đường GT từ đường Nguyễn Trãi đi QL 1A TDP Tiền Phong phường QL</t>
  </si>
  <si>
    <t>Số 331/QĐ-UBND ngày
 07/09/2021 của UBND phường</t>
  </si>
  <si>
    <t>Xây dựng nhà đa chức năng 2 tầng 4 phòng nhà bảo vệ Trường THCS Quảng Long</t>
  </si>
  <si>
    <t>Số 1607 ngày 18/8/2022 của UBND Thị xã</t>
  </si>
  <si>
    <t>Nâng cấp khuôn viên trụ sở Công an phường  Quảng Long</t>
  </si>
  <si>
    <t>Số 112/QĐ-UBND ngày 04/04/2022 của UBND phường</t>
  </si>
  <si>
    <t xml:space="preserve">Mở rộng lăng mộ tướng Nguyễn Dụng </t>
  </si>
  <si>
    <t>Số 136/QĐ-UBND ngày 22/04/2022 của UBND phường</t>
  </si>
  <si>
    <t>Tuyến đường nối từ TDP Chính Trực đi khu tiểu thủ công nghiệp phường Quảng Long</t>
  </si>
  <si>
    <t>QĐ số 277a/QĐ-UBND ngày 12/09/2022 của UBND phường QL</t>
  </si>
  <si>
    <t>Sửa chữa nâng cấp các tuyến đường nội vùng TDP Tiền Phong</t>
  </si>
  <si>
    <t>Số 103/QĐ-UBND ngày 21/03/2022 của UBND phường</t>
  </si>
  <si>
    <t>Rãnh thoát nước dọc đường xóm 1 TDP Chính Trực</t>
  </si>
  <si>
    <t>Số 292/QĐ-UBND ngày 19/09/2022 của UBND phường</t>
  </si>
  <si>
    <t>Kênh mương thoát lũ TDP Tiền Phong phường Quảng Long</t>
  </si>
  <si>
    <t>Số 322 ngày 04/10/2022 của UBND phường</t>
  </si>
  <si>
    <t>Rãnh thoát nước dọc đường xóm 2, xóm 3 TDP Chính Trực</t>
  </si>
  <si>
    <t>Số 293/QĐ-UBND ngày 19/9/2022 của UBND phường</t>
  </si>
  <si>
    <t>Nâng cấp mở rộng đường trục chính từ phường Ba Đồn đấu nối với đường 36m đi trung tâm huyện lỵ Quảng Trạch</t>
  </si>
  <si>
    <t>QĐ Số 116/QĐ-UBND ngày 08/4/2022</t>
  </si>
  <si>
    <t xml:space="preserve"> Nhà hiệu bộ trường tiểu học Quảng Long</t>
  </si>
  <si>
    <t>Số 317/QĐ-UBND ngày 03/10/2022 của UBND phường</t>
  </si>
  <si>
    <t>Hệ thống kênh thoát lũ xóm 4 TDP Chính Trực.</t>
  </si>
  <si>
    <t>Số 350/QĐ-UBND ngày 28/10/2022 của UBND phường</t>
  </si>
  <si>
    <t>Các phòng học và bếp ăn Trường mầm non KV2 phường Quảng Long</t>
  </si>
  <si>
    <t>Số 389 ngày 09/12/2022 của UBND phường</t>
  </si>
  <si>
    <t>Nâng cấp các tuyến mương tưới nội đồng TDP Chính Trực phường Quảng Long)</t>
  </si>
  <si>
    <t>QĐ số 382/QĐ-UBND ngày 07/12/2022 của UBND phường QL</t>
  </si>
  <si>
    <t>Hệ thống thoát nước dọc đường xóm Tân Long TDP Chính Trực phường Quảng Long</t>
  </si>
  <si>
    <t>QĐ số 378/QĐ-UBND ngày 06/12/2022 của UBND phường QL</t>
  </si>
  <si>
    <t>Xây dựng nhà lớp học 2 tầng 8 phòng trường tiểu học Quảng Long</t>
  </si>
  <si>
    <t xml:space="preserve">Số 23 ngày 10/02/2023
của UBND p
</t>
  </si>
  <si>
    <t>Cải tạo mở rộng nhà vệ sinh trường THCS Quảng Long</t>
  </si>
  <si>
    <t>Số 90 ngày 13/03/2023 của UBND phường</t>
  </si>
  <si>
    <t>Xây dựng các tuyến đường giao thông khu dân cư và nội đồng phường Quảng Long</t>
  </si>
  <si>
    <t>QĐ số 478/QĐ-UBND ngày 29/12/2022 của UBND phường</t>
  </si>
  <si>
    <t>Hệ thống rãnh thoát nước dọc đường TDP Trường Sơn phường Quảng Long</t>
  </si>
  <si>
    <t>Số 36/QĐ-UBND ngày 20/02/2023 của UBND phường</t>
  </si>
  <si>
    <t>Đường kết hợp mương thoát lũ TDP Chính Trực  phường Quảng Long</t>
  </si>
  <si>
    <t>Số 69/QĐ-UBND ngày 06/03/2023 của UBND phường</t>
  </si>
  <si>
    <t>Kênh thoát lũ xóm 2 TDP Chính Trực phường Quảng Long</t>
  </si>
  <si>
    <t>Số 59/QĐ-UBND ngày 28/02/2023 của UBND phường</t>
  </si>
  <si>
    <t>Hạ tầng tuyến đường từ trung tâm phường Quảng Long đi trung tâm huyện lỵ Quảng Trạch</t>
  </si>
  <si>
    <t>Số 106 ngày 04/04/2023 của UBND phường Quảng Long</t>
  </si>
  <si>
    <t>Sữa chữa phòng học và một số hạng mục phụ trợ điểm trường Mầm non, Tiểu học, Trung học cơ sở trên địa bàn phường Quảng Long và lát vĩa hè trước Đình làng và UBND phường</t>
  </si>
  <si>
    <t>Số 186/QĐ-UBND ngày 16/08/2023 của UBND phường</t>
  </si>
  <si>
    <t xml:space="preserve">Cải tạo, sửa chữa một số hạng mục cấp bách tại Trường mầm non phường Quảng Long
</t>
  </si>
  <si>
    <t>Số 117/QĐ-UBND ngày 30/05/2024 của UBND phường</t>
  </si>
  <si>
    <t>B6</t>
  </si>
  <si>
    <t>NS TỈNH QUẢN LÝ</t>
  </si>
  <si>
    <t xml:space="preserve">Khắc phục khẩn cấp tuyền đường giao thông liên Tổ dân phố phường Quảng Phong, thị xã Ba Đồn </t>
  </si>
  <si>
    <t>Quảng Phong</t>
  </si>
  <si>
    <t>2019</t>
  </si>
  <si>
    <t>3506/QĐ - UBND ngày 05/10/2017</t>
  </si>
  <si>
    <t>Đầu tư cứng hóa đường giao thông liên tổ dân phố, liên phường Quảng Phong</t>
  </si>
  <si>
    <t>NGÂN SÁCH XÃ QUẢN LÝ</t>
  </si>
  <si>
    <t>Các tuyến mương tiêu TDP 3,
 phường Quảng Phong, TX Ba Đồn</t>
  </si>
  <si>
    <t>Nâng cấp các tuyến đường lầy lội phường Quảng Phong</t>
  </si>
  <si>
    <t xml:space="preserve">Đường nối từ khu nhà ở thương mại ra Bến phà củ Phường Quảng Phong.  </t>
  </si>
  <si>
    <t>Xây dựng sân bóng, gara xe, cải tạo, sửa chữa 02 dãy nhà lớp học 2 tầng Trường Tiểu học Quảng Phong</t>
  </si>
  <si>
    <t xml:space="preserve">Đường nối từ khu nhà ở thương mại ra Bến phà củ Phường Quảng Phong. Hạng mục: cấp điện </t>
  </si>
  <si>
    <t>Nâng cấp cải tạo khuôn viên Trường THCS Quảng Phong</t>
  </si>
  <si>
    <t>Đường giao thông liên TDP 6 - 7, phường Quảng Phong</t>
  </si>
  <si>
    <t>Các tuyến mương tiêu bổ sung TDP 3,5,7 phường Quảng Phong</t>
  </si>
  <si>
    <t>Các tuyến mương tiêu bổ sung TDP 2, phường Quảng Phong, thị xã Ba Đồn</t>
  </si>
  <si>
    <t>Các tuyến mương tiêu  TDP 6 phường Quảng Phong</t>
  </si>
  <si>
    <t>Nâng cấp, xây dựng mới các tuyến mương TDP 5, mường Quảng Phong</t>
  </si>
  <si>
    <t>Các tuyến mương tiêu TDP 7 phường Quảng Phong</t>
  </si>
  <si>
    <t>Gia cố mái taluy tuyến đường nội đồng TDP 1, phường Quảng Phong</t>
  </si>
  <si>
    <t>Các trục đường giao thông TDP 8, phường Quảng Phong</t>
  </si>
  <si>
    <t xml:space="preserve"> Nâng cấp tuyến đường từ Quốc lộ 12 A đi đến đường bê tông liên tổ Phường Quảng Phong</t>
  </si>
  <si>
    <t>Nâng cấp tuyến đường từ Quốc lộ 12 A đi đến đường bê tông liên TDP Phường Quảng Phong - Hạng mục: Cấp điện</t>
  </si>
  <si>
    <t>Các tuyến mương tiêu bổ sung TDP 4 và TDP 6 Phường Quảng Phong, thị xã Ba Đồn</t>
  </si>
  <si>
    <t>Cứng hóa các tuyến đường TDP 4 phường Quảng Phong</t>
  </si>
  <si>
    <t xml:space="preserve"> Nâng cấp tuyến đường nội đồng đồng hoang TDP 5, phường Quảng Phong</t>
  </si>
  <si>
    <t xml:space="preserve"> Đường và rảnh thoát nước TDP 4, phường Quảng Phong</t>
  </si>
  <si>
    <t xml:space="preserve"> Nhà văn hóa Tổ dân phố 1, phường Quảng Phong</t>
  </si>
  <si>
    <t>Nhà văn hóa Tổ dân phố 3, phường Quảng Phong</t>
  </si>
  <si>
    <t>Các tuyến đường TDP 4 phường Quảng Phong, thị xã Ba Đồn</t>
  </si>
  <si>
    <t>Mở rộng đường và làm mới mương thoát nước tuyến đường trục chính từ TDP 1 đến TDP 5, phường Quảng Phong, TX Ba Đồn</t>
  </si>
  <si>
    <t>Mở rộng đường và làm mới mương thoát nước tuyến đường trục chính từ TDP 5 đến TDP 8, phường Quảng Phong, TX Ba Đồn</t>
  </si>
  <si>
    <t>Nhà bếp bán trú và các hạng mục phụ trợ Trường MN Quảng Phong ( khu vực lẻ)</t>
  </si>
  <si>
    <t>Đấu nối, nâng cấp nạo vét các tuyến mương tiêu TDP 8 phường Quảng Phong</t>
  </si>
  <si>
    <t>Các tuyến đường, mương bê tông lối xóm TDP 3, phường Quảng Phong</t>
  </si>
  <si>
    <t>Các tuyến đường, mương bê tông bổ sung TDP 8, phường Quảng Phong</t>
  </si>
  <si>
    <t>Cổng chào
 thị xã Ba Đồn</t>
  </si>
  <si>
    <t>Sưả chữa, cải tạo nhà văn phòng làm việc, nhà bộ môn Trường THCS Quảng Phong</t>
  </si>
  <si>
    <t xml:space="preserve">Công trình hàng rào và cổng phụ phía đông trường tiểu học Quảng Phong </t>
  </si>
  <si>
    <t xml:space="preserve">Cổng chào phường Quảng Phong </t>
  </si>
  <si>
    <t xml:space="preserve">Xây dựng hệ thống điện chiếu sáng các tuyến đường phường Quảng Phong </t>
  </si>
  <si>
    <t xml:space="preserve">Nâng cấp các tuyến đường liên tổ dân phố phường Quảng Phong </t>
  </si>
  <si>
    <t xml:space="preserve">Các tuyến đường từ nhà thờ Tân Phong đến khu quy hoạch Vĩnh Trèn </t>
  </si>
  <si>
    <t xml:space="preserve">Cổng, hàng rào UBND phường Quảng Phong </t>
  </si>
  <si>
    <t xml:space="preserve">Sân bê tông nhà bảo vệ UBND phường Quảng Phong </t>
  </si>
  <si>
    <t xml:space="preserve">Các tuyến đường , mương bê tông lối xóm TDP 8 phường Quảng Phong </t>
  </si>
  <si>
    <t xml:space="preserve">Đường mương bê tông lối xóm TDP 7 phường Quảng Phong </t>
  </si>
  <si>
    <t>Hệ thống Camera An ninh trên các trục đường chính phường Quảng Phong  (GĐ 1)</t>
  </si>
  <si>
    <t>Hệ thống Camera An ninh trên các trục đường chính phường Quảng Phong (GĐ2)</t>
  </si>
  <si>
    <t xml:space="preserve">Các tuyến mương tiêu TDP cầu phường Quảng Phong </t>
  </si>
  <si>
    <t xml:space="preserve">Điện chiếu sáng năng lượng mặt trời trục chính các TDP phường Quảng Phong </t>
  </si>
  <si>
    <t xml:space="preserve">Hệ thống điện chiếu sáng năng lượng mặt trời khuôn viên NVH các TDP phường Quảng Phong </t>
  </si>
  <si>
    <t xml:space="preserve">Điện chiếu sáng năng lượng các trục đường TDP 4, TDP 5, TDP 6  phường Quảng Phong </t>
  </si>
  <si>
    <t xml:space="preserve">Nhà lớp học và phụ trợ trường mầm non Quảng Phong khu vực Tân Xuân </t>
  </si>
  <si>
    <t xml:space="preserve">Điện chiếu sáng năng lượng các trục đường TDP7, TDP 8 phường Quảng Phong </t>
  </si>
  <si>
    <t xml:space="preserve">Sửa chửa khuôn viên nhà vệ sinh, nhà để xe trường THCS Quảng Phong </t>
  </si>
  <si>
    <t xml:space="preserve">Tuyến đường trục chính từ TDP Tân Xuân đi TDP 1 phường Quảng Phong, TX Ba Đồn, Quảng Bình </t>
  </si>
  <si>
    <t xml:space="preserve">Hội trường và nhà làm việc UBND phường Quảng Phong </t>
  </si>
  <si>
    <t xml:space="preserve">Cải tạo sửa chửa tầng 2 nhà làm việc một cửa UBND phường Quảng Phong </t>
  </si>
  <si>
    <t xml:space="preserve">Sửa chửa mương tưới tiêu TDP 6,7 phường Quảng Phong </t>
  </si>
  <si>
    <t xml:space="preserve">Nâng cấp các tuyến mương tiêu TDP 1,3,4 phường Quảng Phong </t>
  </si>
  <si>
    <t>Nâng cấp các tuyến mương tiêu TDP 5 phường Quảng Phong</t>
  </si>
  <si>
    <t>06/2021</t>
  </si>
  <si>
    <t>Cứng hóa các tuyến đường tổ dân phố 1,2,4,5</t>
  </si>
  <si>
    <t>6/2021</t>
  </si>
  <si>
    <t xml:space="preserve">Gia cố mái taluy đường, mương tiêu TDP 2 phường Quảng Phong </t>
  </si>
  <si>
    <t xml:space="preserve">Gia cố mái taluy đường, mương tiêu TDP 3 phường Quảng Phong </t>
  </si>
  <si>
    <t xml:space="preserve">Đường điện chiếu sáng bờ kè sông kênh kịa từ đập tràn TDP 8 đến hết TDP Tân Xuân </t>
  </si>
  <si>
    <t>11/2022</t>
  </si>
  <si>
    <t xml:space="preserve">Nâng cấp khuôn viên trụ sở công an phường Quảng Phong </t>
  </si>
  <si>
    <t>03/2023</t>
  </si>
  <si>
    <t xml:space="preserve">Cổng hàng rào trạm y tế phường Quảng Phong </t>
  </si>
  <si>
    <t xml:space="preserve">Cải tạo , sơn sửa nhà bia tưởng niệm, hàng rào và xây mới các hạng mục phụ trợ Đình làng Lũ Phong, phường Quảng Phong </t>
  </si>
  <si>
    <t>05/2023</t>
  </si>
  <si>
    <t>XÃ QUẢNG HOÀ</t>
  </si>
  <si>
    <t>B7</t>
  </si>
  <si>
    <t>Nâng cấp các tuyến đường xóm Đồng, xóm 4 Thôn Cao Cựu xã Quảng Hoà</t>
  </si>
  <si>
    <t>Quảng Hoà</t>
  </si>
  <si>
    <t>Số 1226 ngày 16/06/2021
UBND TX</t>
  </si>
  <si>
    <t>Hệ thống điện chiếu sáng khuôn viên cây xanh khu vực trung tâm xã Quảng Hoà</t>
  </si>
  <si>
    <t>Số 1304 ngày 28/06/2021 của UBND TX</t>
  </si>
  <si>
    <t>KCH kênh mương thôn Thanh Tân xã Quảng Hoà</t>
  </si>
  <si>
    <t>Số 2506/QĐ-UBND ngày 05/10/2021 của UBND thị xã Ba Đồn</t>
  </si>
  <si>
    <t>Đường giao thông nông thôn kết hợp kênh mương bê tông  thôn Cao Cựu xã Quảng Hoà</t>
  </si>
  <si>
    <t>Số 572 ngày
07/04/2022
UBND TX</t>
  </si>
  <si>
    <t>Đường giao thông nội đồng từ xã Quảng Hòa đi xã Quảng Thủy, thị xã Ba Đồn</t>
  </si>
  <si>
    <t>Số 2014
ngày 05/10/2022</t>
  </si>
  <si>
    <t>Các tuyến đường giao thông nông thôn thôn Hợp Hoà xã Quảng Hoà</t>
  </si>
  <si>
    <t>687 ngày 20/04/2022 của UBND thị xã Ba Đồn</t>
  </si>
  <si>
    <t>Đường GTNT thôn Cao Cựu xã Quảng Hoà</t>
  </si>
  <si>
    <t>873 ngày 24/02/2022 của UBND thị xã Ba Đồn</t>
  </si>
  <si>
    <t>Các tuyến đường liên thôn Nhân Hoà - Thanh Tân - Vĩnh Phú xã Quảng Hoà</t>
  </si>
  <si>
    <t>QĐ số 522/QĐ-UBND ngày 29/03/2022 của UBND thị xã</t>
  </si>
  <si>
    <t>KCH kênh mương tưới tiêu từ vùng Hói pheo - Vùng Cộc thuộc thôn Vĩnh Phú, xã Quảng Hoà</t>
  </si>
  <si>
    <t>QĐ số 1002/QĐ-UBND ngày 30/5/2023 của UBND thị xã</t>
  </si>
  <si>
    <t>Bê tông hoá tuyến đường đoạn từ nhà ông Đoàn Ngọc Quý đội 2 đến nhà ông Nguyễn Văn Thuỷ đội 3 và Kênh tiêu úng, tuyến kênh từ nhà ông Hợp hà đến nhà Ô Đại thôn Thanh Tân</t>
  </si>
  <si>
    <t>Số 1432/QĐ-UBND ngày 13/07/2023 của UBND TX</t>
  </si>
  <si>
    <t>Cải tạo nhà lớp học 2 tầng 10 phòng, xây dựng nhà vệ sinh và nâng cấp khuôn viên sân trường TH số 1 Quảng Hoà</t>
  </si>
  <si>
    <t>Số 402/QĐ-UBND ngày 06/03/2023 của UBND TX</t>
  </si>
  <si>
    <t>Nâng cấp sữa chữa hệ thống hạ tầng giao thông liên thôn xã Quảng Hoà</t>
  </si>
  <si>
    <t>1095 ngày 09/06/2023 của UBND Thị xã</t>
  </si>
  <si>
    <t>Đường giao thông nội thôn Thanh Tân và thôn Vĩnh Phú xã Quảng Hoà</t>
  </si>
  <si>
    <t>QĐ số 280/QĐ-UBND ngày 15/06/2022 của UBND  xã</t>
  </si>
  <si>
    <t>Xây dựng nhà hiệu bộ 2 tầng 6 phòng Trường Tiểu học số 2 Quảng Hoà</t>
  </si>
  <si>
    <t>QĐ số 593/QĐ-UBND ngày 06/12/2023 của UBND  xã</t>
  </si>
  <si>
    <t>Nâng cấp, cải tạo Nghĩa trang liệt sỹ xã Quảng Hoà</t>
  </si>
  <si>
    <t>Số 869 ngày 03/11/2021 của UBND xã</t>
  </si>
  <si>
    <t>Xây dựng bếp ăn bán trú, lát nền tầng 1 NLH 2 tầng và xây dựng 2 khu vệ sinh trường Mầm Non Thanh Tân xã Quảng Hoà</t>
  </si>
  <si>
    <t>Số 257/QĐ-UBND ngày 27/06/2023 của UBND xã</t>
  </si>
  <si>
    <t>III</t>
  </si>
  <si>
    <t>NÔNG THÔN MỚI</t>
  </si>
  <si>
    <t>Xây dựng đường giao thông nông thôn kết hợp kênh mương thôn Hợp Hoà, Vĩnh Phú, Thanh Tân xã Quảng Hoà</t>
  </si>
  <si>
    <t>Số 2670/QĐ-UBND ngày 14/12/2022 của UBND Thị xã</t>
  </si>
  <si>
    <t>Đường giao thông nội thôn Thanh Tân xã Quảng Hoà</t>
  </si>
  <si>
    <t>Số 134/QĐ-UBND ngày 10/03/2023 của UBND xã</t>
  </si>
  <si>
    <t>XÃ QUẢNG LỘC</t>
  </si>
  <si>
    <t>Đường bê tông thôn vĩnh phước nam xã Quảng Lộc</t>
  </si>
  <si>
    <t>Quảng Lộc</t>
  </si>
  <si>
    <t>2020-2022</t>
  </si>
  <si>
    <t>Só 4230 ngày 30/10/2019</t>
  </si>
  <si>
    <t>Đường từ Phù Trịch đi Di tích lịch sử Trận chiến thắng Phù Trịch - La Hà xã Quảng Lộc, thị xã Ba Đồn</t>
  </si>
  <si>
    <t>2022-2024</t>
  </si>
  <si>
    <t>Số 1316 ngày 11/7/2022 của UBND TXBĐ</t>
  </si>
  <si>
    <t>Cứng hoá các tuyến đường nội đồng xóm I thôn Vĩnh Phước</t>
  </si>
  <si>
    <t>Đường GTNT kết hợp kè và Nâng cấp cống tiêu thoát úng cho khu vực thôn Vĩnh Phước xã Quảng Lộc</t>
  </si>
  <si>
    <t>2022-2025</t>
  </si>
  <si>
    <t>Bê tông hoá đường và kênh mương vùng Giếng, Cửa Miệu thôn Phù Trịch xã Quảng Lộc</t>
  </si>
  <si>
    <t>Số 689ngày 06/09/2022 của UBND xã Q.Lộc</t>
  </si>
  <si>
    <t>Hạ tầng đường giao thông kết hợp kè đoạn từ cầu đi xóm 4 thôn cồn sẽ, xã Quảng Lộc</t>
  </si>
  <si>
    <t>Số 88ngày 25/01/2022 của UBND xã Q.Lộc</t>
  </si>
  <si>
    <t>Đường giao thông kết hợp kè từ phà Phù Trịch đi Đài chiến thắng trận Phù Trịch - La Hà xã Quảng Lộc, thị xã Ba Đồn</t>
  </si>
  <si>
    <t>Số 835  ngày 15/10/2021 xã Q.Lộc</t>
  </si>
  <si>
    <t>Nâng cấp sân phía sau trụ sở UBND xã, tu sữa nhà văn hóa xã</t>
  </si>
  <si>
    <t>Số 51 ngày 08/5/2020</t>
  </si>
  <si>
    <t>Xây dựng cổng, hàng rào, sân bê tông nhà văn hóa thôn cồn sẽ</t>
  </si>
  <si>
    <t>Số 52 ngày 08/5/2020</t>
  </si>
  <si>
    <t>Xây dựng gara xe trường THCS Quảng Lộc</t>
  </si>
  <si>
    <t>Số 53 ngày 08/5/2020</t>
  </si>
  <si>
    <t>Xây dựng nhà vệ sinh trường THCS Quảng Lộc</t>
  </si>
  <si>
    <t>Số 54 ngày 08/5/2020</t>
  </si>
  <si>
    <t>Tuyến đường từ nhà phương đến nhà thông và từ bình lên rộc nghé thôn Vĩnh Phước</t>
  </si>
  <si>
    <t>Số 55 ngày 13/5/2020</t>
  </si>
  <si>
    <t>Bê tông hóa tuyến đường từ cửa hải linh đển tính và tuyến hồi ông toan thôn phù trịch</t>
  </si>
  <si>
    <t>Số 56 ngày 13/5/2020</t>
  </si>
  <si>
    <t>Tuyến đường từ nhà hải lúa xuống đường văn hóa và tuyến nhà sinh đến đường 559 thôn vĩnh phước</t>
  </si>
  <si>
    <t>Số 98 ngày 29/5/2020</t>
  </si>
  <si>
    <t>Đường GTNT thôn cồn sẽ</t>
  </si>
  <si>
    <t>Số 99 ngày 29/5/2020</t>
  </si>
  <si>
    <t>Tuyến đường từ cửa khiêm xuống rộc bò bạng thôn vĩnh phước</t>
  </si>
  <si>
    <t>Số 100 ngày 29/5/2020</t>
  </si>
  <si>
    <t>Tuyến đường từ cửa phượng lên ông dúy ra cống hồi quy thôn Vĩnh  phước</t>
  </si>
  <si>
    <t>Số 101 ngày 29/5/2020</t>
  </si>
  <si>
    <t>Tuyến đường từ cửa diên đến hào và từ cửa lợi xuống rộc thôn vĩnh phước</t>
  </si>
  <si>
    <t>Số 102 ngày 29/5/2020</t>
  </si>
  <si>
    <t>Bê tông hóa tuyến đường  xóm mới và tuyến đường hồi ông lệ thôn phù trịch</t>
  </si>
  <si>
    <t>Số 103 ngày 29/5/2020</t>
  </si>
  <si>
    <t>Trồng cây xanh và lắp đặt trụ đèn tại trục đường trước UBND xã Quảng Lộc</t>
  </si>
  <si>
    <t>Số 104 ngày 29/5/2020</t>
  </si>
  <si>
    <t>Các tuyến đường thôn vĩnh lộc</t>
  </si>
  <si>
    <t>2023-2025</t>
  </si>
  <si>
    <t>Đường và mương thôn Vĩnh Phước</t>
  </si>
  <si>
    <t>XÃ QUẢNG VĂN</t>
  </si>
  <si>
    <t>Bế tông hoá các tuyến đường lầy lội xã Quảng Văn</t>
  </si>
  <si>
    <t>Xã Quảng Văn</t>
  </si>
  <si>
    <t>Số 1029 ngày 21/5/2021 của Thị xã</t>
  </si>
  <si>
    <t>Mở rộng tuyến đường từ Cầu Máng về hồi ông Đài thôn La Hà Tây xã Quảng Văn</t>
  </si>
  <si>
    <t>Số 440 /QĐ - UBND ngày 14/3/2022 của UBND thị xã Ba Đồn</t>
  </si>
  <si>
    <t>Bê tông hoá các tuyến đường nội thôn Văn Phú xã Quảng Văn</t>
  </si>
  <si>
    <t>Số 397 /QĐ - UBND ngày 04/3/2022 của UBND thị xã Ba Đồn</t>
  </si>
  <si>
    <t>KCH kênh mương tưới, tiêu xã Quảng Văn, thị xã Ba Đồn</t>
  </si>
  <si>
    <t>Số 595 /QĐ - UBND ngày 13/4/2022 của UBND thị xã Ba Đồn</t>
  </si>
  <si>
    <t>Nâng cấp tuyến đường nội đồng thôn La Hà Tây, khu vực nghĩa địa đồng Cồn Vượn xã Quảng Văn</t>
  </si>
  <si>
    <t>2024</t>
  </si>
  <si>
    <t>Số 526 ngày 29/3/2023 của  UBND thị xã Ba Đồn</t>
  </si>
  <si>
    <t>Cứng hoá đường trong khu dân cư và đường nội đồng thôn La Hà Nam xã Quảng Văn</t>
  </si>
  <si>
    <t>Số 1114 ngày 12/6/2023 của  UBND thị xã Ba Đồn</t>
  </si>
  <si>
    <t>NGUỒN NTM</t>
  </si>
  <si>
    <t xml:space="preserve">Đường bê tông từ nghĩa địa Đồng Cao đi nghĩa địa Phụ Cồn </t>
  </si>
  <si>
    <t>Số 1223 ngày 23/6/2023 của UB thị xã Ba Đồn</t>
  </si>
  <si>
    <t xml:space="preserve">Đường bê tông từ đê phía Bắc đến  nghĩa địa Đồng Cao  </t>
  </si>
  <si>
    <t>Số 63 ngày 28/6/2023 của UB xã Q.Văn</t>
  </si>
  <si>
    <t>XÃ QUẢNG MINH</t>
  </si>
  <si>
    <t>Đường GTNT liên thôn Cồn Nâm đi thôn Đông Thành xã Quảng Minh</t>
  </si>
  <si>
    <t>Xã Q.Minh</t>
  </si>
  <si>
    <t>Số:1872a/QĐ - UBNDngày 24/9/2018</t>
  </si>
  <si>
    <t>Xây dựng nhà chức năng, sân, bếp ăn và khuôn viên trường Mầm Non xã Q. Minh</t>
  </si>
  <si>
    <t>4300/QĐ - UBND ngày 31/10//202019</t>
  </si>
  <si>
    <t>Sữa chữa nâng cấp đường GTNT Bắc Minh Lệ xã Quảng Minh</t>
  </si>
  <si>
    <t>3891QĐ - UBND ngày 15/10//2019</t>
  </si>
  <si>
    <t>Bê tông hoá kênh tưới nội đồng thôn tây Minh Lệ</t>
  </si>
  <si>
    <t>2304/QĐ - UBND ngày 28/09//2020</t>
  </si>
  <si>
    <t>Đường GTNT liên thôn Cồn Nâm đi thôn Đông Thành xã Quảng Minh (gđ 2)</t>
  </si>
  <si>
    <t>Số: 1584//QĐ - UBND ngày 20/07/2021</t>
  </si>
  <si>
    <t>Khắc phục khẩn cấp tuyến đường phòng tránh lũ kết hợp mở rộng khu dân cư xã Quảng Minh</t>
  </si>
  <si>
    <t>Số 2082
 ngày 29/8/2021</t>
  </si>
  <si>
    <t>Đường từ nhà văn hoá xóm Thái Hoà đi xóm Minh Trường, thôn Trường Thái xã Quảng Minh</t>
  </si>
  <si>
    <t>Số: 667/QĐ - UBND ngày 20/04/2022</t>
  </si>
  <si>
    <t>Xây dựng tuyến kênh phục vụ sản xuất nông nghiệp thôn Bắc đi thôn Tây xã Quảng Minh</t>
  </si>
  <si>
    <t>Số: 1843/QĐ - UBND ngày 15/09/2022</t>
  </si>
  <si>
    <t>Xây dựng tuyến mương từ xã Quảng Hoà vào xóm Minh Trường Thôn Trường Thái xã Quảng Minh</t>
  </si>
  <si>
    <t>Số: 1535/QĐ - UBND ngày 02/12/2022</t>
  </si>
  <si>
    <t>Bê tông hoá các trục đường thôn Nam đi thôn Bắc xã Quảng Minh</t>
  </si>
  <si>
    <t>Số: 1371/QĐ - UBND ngày 05/07/2023</t>
  </si>
  <si>
    <t>Nông thôn mới</t>
  </si>
  <si>
    <t>Đường GT thôn Bắc đi thôn Tây Minh Lệ xã Quảng Minh</t>
  </si>
  <si>
    <t>Số: 363/QĐ - UBND ngày05/06/2024</t>
  </si>
  <si>
    <t>Kênh kết hợp với tưới tiêu xóm 7 đến xóm 8 thôn Nam Minh Lệ</t>
  </si>
  <si>
    <t>Số: 631/QĐ - UBND ngày28/08/2023</t>
  </si>
  <si>
    <t>Nâng cấp chợ mới xã Quảng Minh</t>
  </si>
  <si>
    <t>Số: 2864/QĐ - UBND ngày28/12/2022</t>
  </si>
  <si>
    <t>Đường giao thông từ xóm 9 đến vùng đập ngang</t>
  </si>
  <si>
    <t>Số: 2522/QĐ - UBND ngày 02/12/2022</t>
  </si>
  <si>
    <t>XÃ QUẢNG SƠN</t>
  </si>
  <si>
    <t>Đường vượt lũ thôn Hà Sơn</t>
  </si>
  <si>
    <t>UB xã
Q.Sơn</t>
  </si>
  <si>
    <t xml:space="preserve">07/2020
</t>
  </si>
  <si>
    <t>Số 4231
30/10/2019</t>
  </si>
  <si>
    <t>Kiên cố kênh tưới, tiêu phục vụ sản xuất nông nghiệp thôn Minh Sơn, Trung Thượng xã Quảng Sơn</t>
  </si>
  <si>
    <t>Số 2512
06/10/2021</t>
  </si>
  <si>
    <t>Đường từ kênh cấp 1 xã quảng Sơn đi xã Quảng minh</t>
  </si>
  <si>
    <t>02/2021</t>
  </si>
  <si>
    <t>10/2021</t>
  </si>
  <si>
    <t>Số 106
13/01/2021</t>
  </si>
  <si>
    <t>Khắc phục khẩn cấp tuyến đường vượt lũ từ thôn Diên Trường đi Thôn Linh Cận Sơn xã Quảng Sơn</t>
  </si>
  <si>
    <t>07/2021</t>
  </si>
  <si>
    <t>Số 135
09/06/2021</t>
  </si>
  <si>
    <t>Xây dựng hội trường, cổng, hàng rào, sân trụ sở UBND xã Quảng Sơn</t>
  </si>
  <si>
    <t>723
28/4/2022</t>
  </si>
  <si>
    <t>Bê tông hoá các tuyến đường GTNT thôn Thọ Hạ xã Quảng Sơn (HM: 09 truyến đường nội thôn Thọ Hạ)</t>
  </si>
  <si>
    <t>1911
26/09/2022</t>
  </si>
  <si>
    <t>Nhà lớp học 3 phòng và các hạng mục phụ trợ Trường Mầm Non Quảng Sơn điểm trường thôn Tân Sơn</t>
  </si>
  <si>
    <t>Số 2685
15/12/2022</t>
  </si>
  <si>
    <t>Bê tông hoá đường GTNT thôn Bắc Sơn xã Quảng Sơn</t>
  </si>
  <si>
    <t xml:space="preserve">Số 1444
14/07/2023
</t>
  </si>
  <si>
    <t>Sửa chữa tuyến đường chính và cống tại thôn Tân Sơn xã Quảng Sơn</t>
  </si>
  <si>
    <t>Số 2342
05/10/2023</t>
  </si>
  <si>
    <t>Các tuyến đường giao thông xóm 1 Thôn Linh Cận Sơn xã Quảng Sơn (Nông Thôn Mới)</t>
  </si>
  <si>
    <t>06/2020</t>
  </si>
  <si>
    <t>Số 101
05/06/2020</t>
  </si>
  <si>
    <t>Đường giao thông nội đồng Thôn Linh Cận Sơn xã Quảng Sơn (Nông Thôn Mới)</t>
  </si>
  <si>
    <t>05/2021</t>
  </si>
  <si>
    <t>Số 94
19/05/2020</t>
  </si>
  <si>
    <t>Các tuyến đường giao thông xóm 1 cồn ông Bảng Thôn Linh Cận Sơn xã Quảng Sơn (Nông Thôn Mới)</t>
  </si>
  <si>
    <t>04/2021</t>
  </si>
  <si>
    <t>Số 87
19/05/2020</t>
  </si>
  <si>
    <t>Đường giao thông xóm 1  thôn Diên Trường xã Quảng Sơn (Nông Thôn Mới)</t>
  </si>
  <si>
    <t>Số 105
05/06/2020</t>
  </si>
  <si>
    <t>Đường giao thông xóm 2 thôn Diên Trường xã Quảng Sơn (Nông Thôn Mới)</t>
  </si>
  <si>
    <t>01/2021</t>
  </si>
  <si>
    <t>Số 103
05/06/2020</t>
  </si>
  <si>
    <t>Đường giao thông xón 1 xóm 2 thôn Diên trường xã Quảng Sơn</t>
  </si>
  <si>
    <t>Số 104
05/06/2020</t>
  </si>
  <si>
    <t>Đường giao thông xóm 1  thôn Bắc Sơn xã Quảng Sơn (Nông Thôn Mới)</t>
  </si>
  <si>
    <t>Số 102
05/06/2020</t>
  </si>
  <si>
    <t>Đường giao thông xóm 1 xóm 2 thôn Bắc Sơn xã Quảng Sơn (Nông Thôn Mới)</t>
  </si>
  <si>
    <t>Số 88
19/05/2020</t>
  </si>
  <si>
    <t>Các tuyến đường giao thông thôn Thọ Hạ (gói 1) (Nông Thôn Mới)</t>
  </si>
  <si>
    <t>Số 89
19/05/2020</t>
  </si>
  <si>
    <t>Các tuyến đường giao thông thôn Thọ Hạ (gói 2)(Nông Thôn Mới)</t>
  </si>
  <si>
    <t>Số 90
19/05/2020</t>
  </si>
  <si>
    <t>Các tuyến đường giao thông thôn Thọ Hạ ( gói 3) (Nông Thôn Mới)</t>
  </si>
  <si>
    <t>Số 91
19/05/2020</t>
  </si>
  <si>
    <t>Các tuyến đường giao thông xóm 4 thôn Thọ Hạ xã Quảng Sơn (NTM)</t>
  </si>
  <si>
    <t>Số 92
19/05/2020</t>
  </si>
  <si>
    <t xml:space="preserve">Đường giao thông nội đồng Thôn trung Thượng xã Quảng Sơn (Nông Thôn Mới)
</t>
  </si>
  <si>
    <t>09/2021</t>
  </si>
  <si>
    <t>Số 195
03/11/2020</t>
  </si>
  <si>
    <t>XÃ QUẢNG THỦY</t>
  </si>
  <si>
    <t>Đường liên thôn từ Xuân Thuỷ đi Đông Bắc xã Quảng Thuỷ</t>
  </si>
  <si>
    <t>Quảng Thủy</t>
  </si>
  <si>
    <t>1210/QĐ-UBND ngày 30/06/2022</t>
  </si>
  <si>
    <t>Xây dựng đường giao thông nông thôn từ Trung Thuỷ đii Đông Bắc xã Quảng Thuỷ</t>
  </si>
  <si>
    <t>1209/QĐ-UBND ngày 30/06/2022</t>
  </si>
  <si>
    <t>Xây dựng các tuyến kênh tưới tiêu từ Xuân Thuỷ đi Nam Thuỷ và Thượng Thuỷ xã Quảng Thuỷ</t>
  </si>
  <si>
    <t>1529/QĐ-UBND ngày 05/08/2022</t>
  </si>
  <si>
    <t>Xây dựng tuyến đường GTNT từ Trung Thuỷ đi Thượng Thuỷ xã Quảng Thuỷ</t>
  </si>
  <si>
    <t>1351/QĐ-UBND ngày 03/07/2023</t>
  </si>
  <si>
    <t>Xây dựng đường GTNT và rãnh thoát nước thôn Thượng Thủy, Trung Thủy xã Quảng Thủy</t>
  </si>
  <si>
    <t>2729/QĐ-UBND ngày 20/12/2022</t>
  </si>
  <si>
    <t>Đường giao thông nội thôn thôn Thượng Thủy, xã Quảng Thủy</t>
  </si>
  <si>
    <t>119a/QĐ-UBND ngày 14/09/2023</t>
  </si>
  <si>
    <t>XÃ QUẢNG TÂN</t>
  </si>
  <si>
    <t>KCH kênh tưới tiêu nội đồng thôn Tân Hoá xã Quảng Tân</t>
  </si>
  <si>
    <t>Quảng Tân</t>
  </si>
  <si>
    <t xml:space="preserve">2021
</t>
  </si>
  <si>
    <t>Số 2126 ngày 01/9/2021</t>
  </si>
  <si>
    <t>Hệ thống mương đầu nguồn và trạm bơm điện số 2 xã Quảng Tân</t>
  </si>
  <si>
    <t>2988 ngày 08/11/2021</t>
  </si>
  <si>
    <t>Đường phát triển kinh tế thôn Tân Tiến xã Quảng Tân</t>
  </si>
  <si>
    <t>636 ngày 14/4/2022</t>
  </si>
  <si>
    <t>Xây dựng mương tưới tiêu thôn Tân Hoá xã Quảng Tân</t>
  </si>
  <si>
    <t>Nâng cấp tuyến đường trục chính, đoạn từ tuyến đường Phù Trịch đi Lạc Giao đến xóm Mới xã Quảng Tân</t>
  </si>
  <si>
    <t>1057 ngày 17/6/2022</t>
  </si>
  <si>
    <t>Đường thoát lũ dân sinh khu vực xóm mới xã Quảng Tân</t>
  </si>
  <si>
    <t>1752 ngày 06/9/2022</t>
  </si>
  <si>
    <t>Đường phát triển kinh tế xã hội thôn Tân Lộc, xã Quảng Tân (nối từ khu dân cư ra đường 36m)</t>
  </si>
  <si>
    <t>2311 ngày 09/11/2022</t>
  </si>
  <si>
    <t>Trung tâm Văn hóa, thể thao xã Quảng Tân</t>
  </si>
  <si>
    <t>2212 ngày 22/9/2023</t>
  </si>
  <si>
    <t>KCH kênh mương nội đồng thôn Tân Lộc - Tân Tiến xã Quảng Tân</t>
  </si>
  <si>
    <t>2754 ngày  08/11/2023</t>
  </si>
  <si>
    <t>Bê tông hoá các tuyến đường giao thông nông thôn thôn Tân Tiến đến Tân Trường ra đường 36m xã Quảng Tân</t>
  </si>
  <si>
    <t>2546 ngày 19/10/2022</t>
  </si>
  <si>
    <t>KCH kênh mương thôn Tân Đức - Tân Hoá xã Quảng Tân</t>
  </si>
  <si>
    <t>1747 ngày 17/8/2023</t>
  </si>
  <si>
    <t>Bê tông tuyến đường phát triển kinh tế thôn Tân Hoá xã Quảng Tân</t>
  </si>
  <si>
    <t>848 ngày 17/5/2023</t>
  </si>
  <si>
    <t>Xây dựng nhà hiệu bộ trường MN xã Quảng Tân</t>
  </si>
  <si>
    <t>2354 ngày 16/11/2022</t>
  </si>
  <si>
    <t>Kênh tưới nội đồng xã Quảng Tân</t>
  </si>
  <si>
    <t>178 ngày 05/10/2023</t>
  </si>
  <si>
    <t>XÃ QUẢNG TRUNG</t>
  </si>
  <si>
    <t>Khắc phục khẩn cấp tuyến đường vượt lũ thôn Thượng Thôn xã Quảng Trung</t>
  </si>
  <si>
    <t>Quảng Trung</t>
  </si>
  <si>
    <t>995 /QĐ - UBND xã Q.Trung ngày 17/5/2021</t>
  </si>
  <si>
    <t>Đường giao thông nội đồng thôn Biểu Lệ xã Quảng Trung</t>
  </si>
  <si>
    <t>1781/QĐ - UBNDTXBĐ ngày 07/09/2022</t>
  </si>
  <si>
    <t>KCH KM thôn Thượng Thôn và thôn Trung Thôn xã Quảng Trung</t>
  </si>
  <si>
    <t>706/QĐ - UBNDTXBĐ ngày 27/04/2022</t>
  </si>
  <si>
    <t>Đường GT liên thôn Thượng Thôn đi thôn Biểu Lệ xã Quảng Trung</t>
  </si>
  <si>
    <t>409/QĐ - UBNDTXBĐ ngày 07/03/2022</t>
  </si>
  <si>
    <t>Các tuyến đường GTNT thôn Trung Thôn xã Quảng Trung</t>
  </si>
  <si>
    <t>670/QĐ - UBNDTXBĐ ngày 20/04/2022</t>
  </si>
  <si>
    <t>Các tuyến đường liên nội thôn Trung Thôn và Thượng Thôn  xã Quảng Trung</t>
  </si>
  <si>
    <t>547/QĐ - UBNDTXBĐ ngày 04/04/2022</t>
  </si>
  <si>
    <t>Nhà hiệu bộ 2 tầng 6 phòng và các hạng mục phụ trợ trường Mầm non Quảng Trung</t>
  </si>
  <si>
    <t>1675/QĐ - UBNDTXBĐ ngày 29/08/2022</t>
  </si>
  <si>
    <t>Xây dựng nhà lớp học 2 tầng 6 phòng  trường Tiểu học xã Quảng Trung</t>
  </si>
  <si>
    <t>1631/QĐ - UBNDTXBĐ ngày 23/08/2022</t>
  </si>
  <si>
    <t>Bê tông hoá kênh tưới thôn Biểu Lệ xã Quảng Trung</t>
  </si>
  <si>
    <t xml:space="preserve">568/QĐ-UBND ngày 05/4/2023 </t>
  </si>
  <si>
    <t>Đường GT liên thôn kết hợp nâng cấp kênh mương từ Thượng Thôn đi Trung Thôn xã Quảng Trung</t>
  </si>
  <si>
    <t>847/QĐ-UBND ngày 17/5/2023 của UBND thị xã Ba Đồn</t>
  </si>
  <si>
    <t>Cứng hoá các tuyến đường nội thôn Công Hoà xã Quảng Trung
Tuyến 1. Từ chân cầu đi nghĩa địa Cồn Niệt
Tuyến 2. Từ nhà Ngọc đến nhà ông Thuận
Tuyến 3. Từ nhà Mai Tiến đến hồi mệ Hường</t>
  </si>
  <si>
    <t>506/QĐ-UBND ngày 28/03/2023 của UBND thị xã Ba Đồn</t>
  </si>
  <si>
    <t>Bê tông hoá kênh mương nội đồng xã Quảng Trung</t>
  </si>
  <si>
    <t>1151/QĐ-UBND ngày 14/06/2023 của UBND thị xã Ba Đồn</t>
  </si>
  <si>
    <t>Mở rộng tuyến đường nối từ thôn Trung Thôn xã Quảng Trung đi xã Quảng Thuỷ</t>
  </si>
  <si>
    <t>1705/QĐ-UBND ngày 16/08/2023 của UBND thị xã Ba Đồn</t>
  </si>
  <si>
    <t>Xây dựng nhà lớp học 2 tầng (4 phòng học và 02 phòng chức năng) Trường tiểu học xã Quảng Trung</t>
  </si>
  <si>
    <t>2692/QĐ-UBND ngày 16/12/2022 của UBND thị xã Ba Đồn</t>
  </si>
  <si>
    <t>Bê tông hoá kênh tưới thôn Thượng thôn xã Quảng Trung</t>
  </si>
  <si>
    <t>162/QĐ-UBND ngày 07/09/2023 của UBND xã Quảng Trung</t>
  </si>
  <si>
    <t>XÃ QUẢNG TIÊN</t>
  </si>
  <si>
    <t>Nâng cấp các tuyến đường trực chính lầy lội xã Quảng Tiên</t>
  </si>
  <si>
    <t>Xã Quảng Tiên</t>
  </si>
  <si>
    <t>1277/QĐ-UBND ngày 24/6/2021</t>
  </si>
  <si>
    <t>Khắc phục, sửa chữa khẩn cấp đập khe nậy xã Quảng Tiên</t>
  </si>
  <si>
    <t>Sửa chữa, chống thấm và khắc phục hậu quả thiên tai Hồ Trằm xã Quảng Tiên</t>
  </si>
  <si>
    <t>1082/QĐ-UBND ngày 02/6/2021</t>
  </si>
  <si>
    <t>Xây dựng đường GTNT ở thôn Tiên Xuân xã Quảng Tiên</t>
  </si>
  <si>
    <t>Xử lý khẩn cấp hệ thống thoát nước và xây dựng các tuyến đường nội thôn thôn Vinh Quang xã Quảng Tiên</t>
  </si>
  <si>
    <t>NQ 68/NQ - HĐND ngày 28/12/2021</t>
  </si>
  <si>
    <t>Sửa chữa, chống thấm và khắc phục hậu quả thiên tai Hồ Trằm, xã Quảng Tiên, thị xã Ba Đồn. Hạng mục: Đập chính</t>
  </si>
  <si>
    <t>Nâng cấp hệ thống nước sạch xã Quảng Tiên</t>
  </si>
  <si>
    <t>NQ số 16 ngày 23/12/2022</t>
  </si>
  <si>
    <t>Đường nội thôn thôn Tiên Sơn xã Quảng Tiên</t>
  </si>
  <si>
    <t>Đường giao thông nông thôn ở thôn Tiên Phan xã Quảng Tiên</t>
  </si>
  <si>
    <t>NQ số 16 ngày 23/12/2023</t>
  </si>
  <si>
    <t>Nâng cấp các tuyến đường tại thôn Tiên Phong xã Quảng Tiên</t>
  </si>
  <si>
    <t>NQ số 16 ngày 23/12/2024</t>
  </si>
  <si>
    <t>Tuyến đường Cồn Rạp thôn Tiên Phong, xã Quảng Tiên, thị xã Ba Đồn</t>
  </si>
  <si>
    <t>Đường kết hợp mương thôn Tiên Sơn xã Quảng Tiên</t>
  </si>
  <si>
    <t>487/QĐ - UBND ngày 22/3/2023</t>
  </si>
  <si>
    <t>XÃ QUẢNG HẢI</t>
  </si>
  <si>
    <t>Cống tiêu úng phục vụ sản xuất nông nghiệp và nuôi trồng thuỷ sản</t>
  </si>
  <si>
    <t>Xã 
Quảng Hải</t>
  </si>
  <si>
    <t>Số 1953 ngày
20/8/2021</t>
  </si>
  <si>
    <t>Đường từ nhà ông Thoành đi anh Hùng thôn Tân Đông, Tân Thượng xã Quảng Hải</t>
  </si>
  <si>
    <t>Số 1811 ngày
10/8/2021</t>
  </si>
  <si>
    <t>Nâng cấp sân bê tông trường TH và THCS Quảng Hải</t>
  </si>
  <si>
    <t>Số 1597 ngày
21/7/2021</t>
  </si>
  <si>
    <t xml:space="preserve">Nâng cấp mở rộng các tuyến đường giao thông thôn Tân Thượng và Tân Đông xã Quảng Hải </t>
  </si>
  <si>
    <t>Số 451 ngày
15/3/2022</t>
  </si>
  <si>
    <t>KCH đường giao thông thôn Vân Bắc xã Quảng Hải</t>
  </si>
  <si>
    <t>Số 468 ngày
18/3/2022</t>
  </si>
  <si>
    <t>Hạ tầng kỹ thuật tuyến đường giao thông trục chính từ thôn Vân Đông đi thôn Tân Thượng xã Quảng Hải</t>
  </si>
  <si>
    <t>632
14/04/2022</t>
  </si>
  <si>
    <t>Mở rộng tuyến đường giao thông từ ông Vinh đi sân thể thao thôn Vân Đông</t>
  </si>
  <si>
    <t>658
19/4/2022</t>
  </si>
  <si>
    <t>KCH kênh mương chính phục vụ sản xuất nông nghiệp xã Quảng Hải</t>
  </si>
  <si>
    <t>Số 3692 ngày
31/12/2021</t>
  </si>
  <si>
    <t>Các tuyến đường bê tông liên thôn xã Quảng Hải
Tuyến 1: Từ ông Nhường đi Quai Sanh
Tuyến 2: Từ ông Yên đi anh Cát
Tuyến 3: Từ anh Vũ đi anh Dư
Tuyến 4: Các tuyến kết nối đường Tố Hữu</t>
  </si>
  <si>
    <t>1927
29/8/2023</t>
  </si>
  <si>
    <t>Mở rộng, KCH các tuyến đường giao thông liên thôn xã Quảng Hải</t>
  </si>
  <si>
    <t>1471
14/7/2023</t>
  </si>
  <si>
    <t>Trung tâm Văn hóa, thể thao phục vụ xây dựng nông thôn mới nâng cao xã Quảng Hải - Hạng mục: Nhà Văn hóa xã Quảng Hải</t>
  </si>
  <si>
    <t>2211
22/9/2023</t>
  </si>
  <si>
    <t>Nâng cấp các tuyến đường giao thông kết hợp mương bê tông phục vụ xây dựng NTM nâng cao xã Quảng Hải.
Tuyến 1: Từ nghĩa trang liệt sỹ đi anh Đại
Tuyến 2: Từ anh Lởi đi Đập Quan</t>
  </si>
  <si>
    <t xml:space="preserve">1052
6/6/2023
</t>
  </si>
  <si>
    <t>BAN QLDA ĐTXD PTQĐ</t>
  </si>
  <si>
    <t>Hạ tầng tuyến đường từ cầu Quảng Hải kết nối các tuyến đường trục chính qua các xã vùng Nam, thị xã Ba Đồn (gđ 1)</t>
  </si>
  <si>
    <t>Thị xã Ba Đồn, tỉnh Quảng Bình</t>
  </si>
  <si>
    <t>Quyết định số 575/QĐ-UBND ngày 07/04/2022 của UBND thị xã</t>
  </si>
  <si>
    <t>Xây dựng Quảng trường biển</t>
  </si>
  <si>
    <t>Quyết định số 2806/QĐ-UBND ngày 05/10/2023 của UBND tỉnh Quảng Bình</t>
  </si>
  <si>
    <t>Hệ thống Hạ tầng kỹ thuật kết hợp đường hai đầu cầu qua thôn Minh Tiến xã Quảng Minh, thị xã Ba Đồn</t>
  </si>
  <si>
    <t>Nghị quyết số 149/NQ-HĐND ngày 02/12/2023</t>
  </si>
  <si>
    <t>Tuyến đường chính QL12A đi vùng Nam, đoạn từ Quảng Lộc đi cụm trung tâm các xã vùng Nam, thị xã Ba Đồn</t>
  </si>
  <si>
    <t>Quyết định số 3696/QĐ-UBND ngày 16/11/2021 của UBND tỉnh Quảng Bình</t>
  </si>
  <si>
    <t>NGÂN SÁCH THỊ XÃ QUẢN LÝ</t>
  </si>
  <si>
    <t>Xây dựng hệ thống điện chiếu sáng QL1A đoạn từ cầu Gianh đến cầu Nhân Thọ</t>
  </si>
  <si>
    <t>2337/QĐ-UBND ngày 22/9/2021</t>
  </si>
  <si>
    <t>Gia cố, khắc phục khẩn cấp tuyến đê kè hữu gianh, đoạn qua xã Quảng Trung và xã Quảng Tiên, thị xã Ba Đồn</t>
  </si>
  <si>
    <t>Quyết định số 1948/QĐ-UBND ngày 19/8/2021 của UBND thị xã</t>
  </si>
  <si>
    <t>Đầu tư cơ sở hạ tầng kỹ thuật phục vụ nuôi trồng thủy sản và dịch vụ hậu cần nghề cá thị xã Ba Đồn (Giai đoạn 1)</t>
  </si>
  <si>
    <t>Quyết định số 1475/QĐ-UBND ngày 12/7/2021 của UBND thị xã</t>
  </si>
  <si>
    <t>Nâng cấp tuyến đường tỉnh lộ 559 (Giai đoạn 2) từ UBND xã Quảng Tiên đến Km10+300</t>
  </si>
  <si>
    <t>Quyết định số 245/QĐ-UBND ngày 13/02/2023 của UBND thị xã</t>
  </si>
  <si>
    <t>Cải tạo, sửa chữa trụ sở làm việc Ban quản lý dự án ĐTXD&amp;PTQĐ thị xã Ba Đồn (trụ sở Trường THPT Nguyễn Bỉnh Khiêm cũ)</t>
  </si>
  <si>
    <t>Quyết định số 2052/QĐ-UBND ngày 12/09/2023</t>
  </si>
  <si>
    <t>BAN QLCCTCC</t>
  </si>
  <si>
    <t>Xây dựng hệ thống mương thoát nước đường Nguyễn Bỉnh Khiêm và nạo vét hệ thống thoát nước đường Hùng Vương</t>
  </si>
  <si>
    <t>Phường Ba Đồn</t>
  </si>
  <si>
    <t>Số 554 ngày 04/4/2022</t>
  </si>
  <si>
    <t>Hệ thống điện trang trí các tuyến đường đô thị, thị xã Ba Đồn</t>
  </si>
  <si>
    <t xml:space="preserve">số 3010/QĐ-UBND ngày 29/11/2023 </t>
  </si>
  <si>
    <t>Đường điện chiếu sáng các xã Vùng Nam đoạn Cầu Quảng Hải đi ngã tư xã Quảng Sơn</t>
  </si>
  <si>
    <t>1324/QĐ-UBND ngày 30/6/2021</t>
  </si>
  <si>
    <t>Đường điện chiếu sáng từ ngã tư phường Quảng Thọ đi Quảng trường biển, thị xã Ba Đồn</t>
  </si>
  <si>
    <t>Số 1868 ngày  19/9/2022</t>
  </si>
  <si>
    <t>PHÒNG QLĐT</t>
  </si>
  <si>
    <t xml:space="preserve">Công viên cây xanh Khu phố 5 </t>
  </si>
  <si>
    <t>Thị xã Ba Đồn</t>
  </si>
  <si>
    <t>Số 2119a ngày 30/10/2018</t>
  </si>
  <si>
    <t>Sửa chữa trụ sở Đội Quy tắc và Trật tự đô thị thị xã Ba Đồn</t>
  </si>
  <si>
    <t>NQ 08/NQ-HĐND ngày 22/3/2021</t>
  </si>
  <si>
    <t>Quy chế Quản lý kiến trúc thị xã Ba Đồn, tỉnh Quảng Bình</t>
  </si>
  <si>
    <t>60/NQ-HĐND ngày 30/7/2021</t>
  </si>
  <si>
    <t>Lắp đặt, sửa chữa, bổ sung biển tên đường, biển báo hiệu giao thông đường bộ trên địa bàn thị xã</t>
  </si>
  <si>
    <t>3238a/QĐ-UBND ngày 27/11/2021</t>
  </si>
  <si>
    <t xml:space="preserve">Khối lượng thực hiện  trong năm 2024  </t>
  </si>
  <si>
    <t xml:space="preserve"> Nợ XDCB đến hết 31/10/2024
(Khối lượng thực hiện đến hết 31/10/2024 chưa được thanh toán)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</si>
</sst>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
    <numFmt numFmtId="166" formatCode="_-* #,##0.00\ _₫_-;\-* #,##0.00\ _₫_-;_-* &quot;-&quot;??\ _₫_-;_-@_-"/>
    <numFmt numFmtId="167" formatCode="_-* #,##0\ _₫_-;\-* #,##0\ _₫_-;_-* &quot;-&quot;??\ _₫_-;_-@_-"/>
    <numFmt numFmtId="168" formatCode="#,##0\ &quot;₫&quot;;\-#,##0\ &quot;₫&quot;"/>
    <numFmt numFmtId="169" formatCode="_(* #,##0_);_(* \(#,##0\);_(* &quot;-&quot;??_);_(@_)"/>
  </numFmts>
  <fonts count="34" x14ac:knownFonts="1">
    <font>
      <sz val="12"/>
      <color theme="1"/>
      <name val="Times New Roman"/>
      <family val="2"/>
    </font>
    <font>
      <sz val="12"/>
      <color theme="1"/>
      <name val="Times New Roman"/>
      <family val="2"/>
    </font>
    <font>
      <sz val="11"/>
      <color theme="1"/>
      <name val="Times New Roman"/>
      <family val="2"/>
    </font>
    <font>
      <b/>
      <sz val="14"/>
      <name val="Times New Roman"/>
      <family val="1"/>
    </font>
    <font>
      <b/>
      <sz val="10"/>
      <name val="Times New Roman"/>
      <family val="1"/>
    </font>
    <font>
      <b/>
      <sz val="12"/>
      <name val="Times New Roman"/>
      <family val="1"/>
    </font>
    <font>
      <sz val="12"/>
      <name val="Times New Roman"/>
      <family val="1"/>
    </font>
    <font>
      <sz val="12"/>
      <name val="Times New Roman"/>
      <family val="2"/>
    </font>
    <font>
      <sz val="11"/>
      <name val="Times New Roman"/>
      <family val="2"/>
    </font>
    <font>
      <b/>
      <sz val="11"/>
      <name val="Times New Roman"/>
      <family val="1"/>
    </font>
    <font>
      <sz val="10"/>
      <name val="Times New Roman"/>
      <family val="1"/>
    </font>
    <font>
      <sz val="11"/>
      <name val="Times New Roman"/>
      <family val="1"/>
    </font>
    <font>
      <i/>
      <sz val="10"/>
      <name val="Times New Roman"/>
      <family val="1"/>
    </font>
    <font>
      <i/>
      <sz val="12"/>
      <name val="Times New Roman"/>
      <family val="1"/>
    </font>
    <font>
      <sz val="12"/>
      <color theme="1"/>
      <name val="Times New Roman"/>
      <family val="2"/>
      <charset val="163"/>
    </font>
    <font>
      <sz val="11"/>
      <color indexed="8"/>
      <name val="Times New Roman"/>
      <family val="2"/>
    </font>
    <font>
      <sz val="12"/>
      <name val=".VnTime"/>
      <family val="2"/>
    </font>
    <font>
      <sz val="11"/>
      <color indexed="8"/>
      <name val="Times New Roman"/>
      <family val="2"/>
      <charset val="163"/>
    </font>
    <font>
      <sz val="10"/>
      <name val="Arial"/>
      <family val="2"/>
    </font>
    <font>
      <sz val="12"/>
      <name val="Calibri"/>
      <family val="2"/>
      <scheme val="minor"/>
    </font>
    <font>
      <sz val="11"/>
      <color theme="1"/>
      <name val="Calibri"/>
      <family val="2"/>
      <scheme val="minor"/>
    </font>
    <font>
      <b/>
      <sz val="12"/>
      <name val="Times New Roman"/>
      <family val="2"/>
    </font>
    <font>
      <sz val="14"/>
      <name val="Times New Roman"/>
      <family val="1"/>
    </font>
    <font>
      <sz val="9"/>
      <name val="Times New Roman"/>
      <family val="1"/>
    </font>
    <font>
      <sz val="11"/>
      <color theme="1"/>
      <name val="Calibri"/>
      <family val="2"/>
      <charset val="163"/>
      <scheme val="minor"/>
    </font>
    <font>
      <sz val="11"/>
      <color indexed="8"/>
      <name val="Calibri"/>
      <family val="2"/>
    </font>
    <font>
      <sz val="12"/>
      <name val="Times New Roman"/>
      <family val="2"/>
      <charset val="163"/>
    </font>
    <font>
      <b/>
      <sz val="9"/>
      <name val="Times New Roman"/>
      <family val="1"/>
    </font>
    <font>
      <b/>
      <sz val="12"/>
      <color theme="0"/>
      <name val="Times New Roman"/>
      <family val="1"/>
    </font>
    <font>
      <sz val="12"/>
      <color theme="0"/>
      <name val="Times New Roman"/>
      <family val="1"/>
    </font>
    <font>
      <sz val="11"/>
      <color theme="0"/>
      <name val="Times New Roman"/>
      <family val="1"/>
    </font>
    <font>
      <i/>
      <sz val="12"/>
      <color theme="0"/>
      <name val="Times New Roman"/>
      <family val="1"/>
    </font>
    <font>
      <b/>
      <sz val="11"/>
      <color theme="0"/>
      <name val="Times New Roman"/>
      <family val="1"/>
    </font>
    <font>
      <b/>
      <sz val="9"/>
      <color theme="0"/>
      <name val="Times New Roman"/>
      <family val="1"/>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6">
    <xf numFmtId="0" fontId="0" fillId="0" borderId="0"/>
    <xf numFmtId="164" fontId="1" fillId="0" borderId="0" applyFont="0" applyFill="0" applyBorder="0" applyAlignment="0" applyProtection="0"/>
    <xf numFmtId="0" fontId="2" fillId="0" borderId="0"/>
    <xf numFmtId="0" fontId="14" fillId="0" borderId="0"/>
    <xf numFmtId="0" fontId="15" fillId="0" borderId="0"/>
    <xf numFmtId="0" fontId="2" fillId="0" borderId="0"/>
    <xf numFmtId="164" fontId="16" fillId="0" borderId="0" applyFont="0" applyFill="0" applyBorder="0" applyAlignment="0" applyProtection="0"/>
    <xf numFmtId="0" fontId="2" fillId="0" borderId="0"/>
    <xf numFmtId="164" fontId="15" fillId="0" borderId="0" applyFont="0" applyFill="0" applyBorder="0" applyAlignment="0" applyProtection="0"/>
    <xf numFmtId="0" fontId="2" fillId="0" borderId="0"/>
    <xf numFmtId="0" fontId="2" fillId="0" borderId="0"/>
    <xf numFmtId="0" fontId="2" fillId="0" borderId="0"/>
    <xf numFmtId="166" fontId="17" fillId="0" borderId="0" applyFont="0" applyFill="0" applyBorder="0" applyAlignment="0" applyProtection="0"/>
    <xf numFmtId="0" fontId="18" fillId="0" borderId="0"/>
    <xf numFmtId="0" fontId="20" fillId="0" borderId="0"/>
    <xf numFmtId="0" fontId="6" fillId="0" borderId="0"/>
    <xf numFmtId="0" fontId="22" fillId="0" borderId="0"/>
    <xf numFmtId="0" fontId="16" fillId="0" borderId="0"/>
    <xf numFmtId="164" fontId="18" fillId="0" borderId="0" applyFont="0" applyFill="0" applyBorder="0" applyAlignment="0" applyProtection="0"/>
    <xf numFmtId="0" fontId="1" fillId="0" borderId="0"/>
    <xf numFmtId="0" fontId="16" fillId="0" borderId="0"/>
    <xf numFmtId="0" fontId="1" fillId="0" borderId="0"/>
    <xf numFmtId="164" fontId="15" fillId="0" borderId="0" applyFont="0" applyFill="0" applyBorder="0" applyAlignment="0" applyProtection="0"/>
    <xf numFmtId="0" fontId="2" fillId="0" borderId="0"/>
    <xf numFmtId="0" fontId="24" fillId="0" borderId="0"/>
    <xf numFmtId="0" fontId="2" fillId="0" borderId="0"/>
    <xf numFmtId="166" fontId="25" fillId="0" borderId="0" applyFont="0" applyFill="0" applyBorder="0" applyAlignment="0" applyProtection="0"/>
    <xf numFmtId="164" fontId="6" fillId="0" borderId="0" applyFont="0" applyFill="0" applyBorder="0" applyAlignment="0" applyProtection="0"/>
    <xf numFmtId="0" fontId="2" fillId="0" borderId="0"/>
    <xf numFmtId="0" fontId="6" fillId="0" borderId="0"/>
    <xf numFmtId="164" fontId="15" fillId="0" borderId="0" applyFont="0" applyFill="0" applyBorder="0" applyAlignment="0" applyProtection="0"/>
    <xf numFmtId="168" fontId="17" fillId="0" borderId="0" applyFont="0" applyFill="0" applyBorder="0" applyAlignment="0" applyProtection="0"/>
    <xf numFmtId="0" fontId="2" fillId="0" borderId="0"/>
    <xf numFmtId="169" fontId="17" fillId="0" borderId="0" applyFont="0" applyFill="0" applyBorder="0" applyAlignment="0" applyProtection="0"/>
    <xf numFmtId="0" fontId="2" fillId="0" borderId="0"/>
    <xf numFmtId="0" fontId="20" fillId="0" borderId="0"/>
  </cellStyleXfs>
  <cellXfs count="217">
    <xf numFmtId="0" fontId="0" fillId="0" borderId="0" xfId="0"/>
    <xf numFmtId="0" fontId="4" fillId="2" borderId="0" xfId="2" applyFont="1" applyFill="1" applyAlignment="1">
      <alignment horizontal="center" vertical="center"/>
    </xf>
    <xf numFmtId="3" fontId="5" fillId="2" borderId="0" xfId="2" applyNumberFormat="1" applyFont="1" applyFill="1" applyAlignment="1">
      <alignment horizontal="right" vertical="center"/>
    </xf>
    <xf numFmtId="0" fontId="6" fillId="2" borderId="0" xfId="0" applyFont="1" applyFill="1"/>
    <xf numFmtId="0" fontId="7" fillId="2" borderId="0" xfId="0" applyFont="1" applyFill="1"/>
    <xf numFmtId="0" fontId="8" fillId="2" borderId="0" xfId="2" applyFont="1" applyFill="1" applyAlignment="1">
      <alignment horizontal="center" vertical="center"/>
    </xf>
    <xf numFmtId="0" fontId="9" fillId="2" borderId="0" xfId="2" applyFont="1" applyFill="1" applyAlignment="1">
      <alignment horizontal="center" vertical="center"/>
    </xf>
    <xf numFmtId="0" fontId="10" fillId="2" borderId="0" xfId="2" applyFont="1" applyFill="1" applyAlignment="1">
      <alignment horizontal="left" vertical="center"/>
    </xf>
    <xf numFmtId="0" fontId="10" fillId="2" borderId="0" xfId="2" applyFont="1" applyFill="1" applyAlignment="1">
      <alignment horizontal="center" vertical="center"/>
    </xf>
    <xf numFmtId="3" fontId="6" fillId="2" borderId="0" xfId="2" applyNumberFormat="1" applyFont="1" applyFill="1" applyAlignment="1">
      <alignment horizontal="right" vertical="center"/>
    </xf>
    <xf numFmtId="0" fontId="11" fillId="2" borderId="0" xfId="2" applyFont="1" applyFill="1" applyAlignment="1">
      <alignment horizontal="center" vertical="center"/>
    </xf>
    <xf numFmtId="0" fontId="12" fillId="2" borderId="0" xfId="2" applyFont="1" applyFill="1" applyAlignment="1">
      <alignment horizontal="left" vertical="center"/>
    </xf>
    <xf numFmtId="0" fontId="12" fillId="2" borderId="0" xfId="2" applyFont="1" applyFill="1" applyAlignment="1">
      <alignment horizontal="center" vertical="center"/>
    </xf>
    <xf numFmtId="3" fontId="13" fillId="2" borderId="0" xfId="2" applyNumberFormat="1" applyFont="1" applyFill="1" applyAlignment="1">
      <alignment horizontal="right" vertical="center"/>
    </xf>
    <xf numFmtId="0" fontId="11" fillId="2" borderId="0" xfId="0" applyFont="1" applyFill="1"/>
    <xf numFmtId="3" fontId="9" fillId="2" borderId="1" xfId="2" applyNumberFormat="1" applyFont="1" applyFill="1" applyBorder="1" applyAlignment="1">
      <alignment horizontal="center" vertical="center" wrapText="1"/>
    </xf>
    <xf numFmtId="0" fontId="9" fillId="2" borderId="1" xfId="2" applyFont="1" applyFill="1" applyBorder="1" applyAlignment="1">
      <alignment horizontal="center" vertical="center"/>
    </xf>
    <xf numFmtId="0" fontId="11" fillId="2" borderId="1" xfId="2" applyFont="1" applyFill="1" applyBorder="1" applyAlignment="1">
      <alignment horizontal="center" vertical="center"/>
    </xf>
    <xf numFmtId="3" fontId="11" fillId="2" borderId="1" xfId="2" applyNumberFormat="1" applyFont="1" applyFill="1" applyBorder="1" applyAlignment="1">
      <alignment horizontal="center" vertical="center"/>
    </xf>
    <xf numFmtId="3" fontId="11" fillId="2" borderId="1" xfId="2" applyNumberFormat="1" applyFont="1" applyFill="1" applyBorder="1" applyAlignment="1">
      <alignment horizontal="center" vertical="center" wrapText="1"/>
    </xf>
    <xf numFmtId="0" fontId="4" fillId="2" borderId="1" xfId="2" applyFont="1" applyFill="1" applyBorder="1" applyAlignment="1">
      <alignment horizontal="center" vertical="center"/>
    </xf>
    <xf numFmtId="3" fontId="5" fillId="2" borderId="1" xfId="2" applyNumberFormat="1" applyFont="1" applyFill="1" applyBorder="1" applyAlignment="1">
      <alignment horizontal="right" vertical="center"/>
    </xf>
    <xf numFmtId="3" fontId="6" fillId="2" borderId="1" xfId="0" applyNumberFormat="1" applyFont="1" applyFill="1" applyBorder="1" applyAlignment="1">
      <alignment vertical="center"/>
    </xf>
    <xf numFmtId="0" fontId="9" fillId="2" borderId="1" xfId="2" quotePrefix="1" applyFont="1" applyFill="1" applyBorder="1" applyAlignment="1">
      <alignment horizontal="center" vertical="center"/>
    </xf>
    <xf numFmtId="165" fontId="10" fillId="2" borderId="1" xfId="6" applyNumberFormat="1" applyFont="1" applyFill="1" applyBorder="1" applyAlignment="1">
      <alignment horizontal="left" vertical="center" wrapText="1"/>
    </xf>
    <xf numFmtId="165" fontId="10" fillId="2" borderId="1" xfId="6" applyNumberFormat="1" applyFont="1" applyFill="1" applyBorder="1" applyAlignment="1">
      <alignment horizontal="center" vertical="center" wrapText="1"/>
    </xf>
    <xf numFmtId="3" fontId="6" fillId="2" borderId="1" xfId="2" applyNumberFormat="1" applyFont="1" applyFill="1" applyBorder="1" applyAlignment="1">
      <alignment horizontal="right" vertical="center"/>
    </xf>
    <xf numFmtId="3" fontId="6" fillId="2" borderId="1" xfId="7" applyNumberFormat="1" applyFont="1" applyFill="1" applyBorder="1" applyAlignment="1">
      <alignment horizontal="right" vertical="center"/>
    </xf>
    <xf numFmtId="3" fontId="6" fillId="2" borderId="1" xfId="8" applyNumberFormat="1" applyFont="1" applyFill="1" applyBorder="1" applyAlignment="1">
      <alignment horizontal="right" vertical="center"/>
    </xf>
    <xf numFmtId="3" fontId="7" fillId="2" borderId="1" xfId="2" applyNumberFormat="1" applyFont="1" applyFill="1" applyBorder="1" applyAlignment="1">
      <alignment horizontal="center" vertical="center"/>
    </xf>
    <xf numFmtId="3" fontId="7" fillId="2" borderId="1" xfId="0" applyNumberFormat="1" applyFont="1" applyFill="1" applyBorder="1"/>
    <xf numFmtId="3" fontId="6" fillId="2" borderId="1" xfId="0" applyNumberFormat="1" applyFont="1" applyFill="1" applyBorder="1"/>
    <xf numFmtId="3" fontId="6" fillId="2" borderId="1" xfId="9" applyNumberFormat="1" applyFont="1" applyFill="1" applyBorder="1" applyAlignment="1">
      <alignment horizontal="right" vertical="center"/>
    </xf>
    <xf numFmtId="3" fontId="6" fillId="2" borderId="1" xfId="10" applyNumberFormat="1" applyFont="1" applyFill="1" applyBorder="1" applyAlignment="1">
      <alignment horizontal="right" vertical="center"/>
    </xf>
    <xf numFmtId="3" fontId="6" fillId="2" borderId="1" xfId="2" applyNumberFormat="1" applyFont="1" applyFill="1" applyBorder="1" applyAlignment="1">
      <alignment horizontal="center" vertical="center"/>
    </xf>
    <xf numFmtId="3" fontId="6" fillId="2" borderId="1" xfId="11" applyNumberFormat="1" applyFont="1" applyFill="1" applyBorder="1" applyAlignment="1">
      <alignment horizontal="right" vertical="center"/>
    </xf>
    <xf numFmtId="3" fontId="6" fillId="2" borderId="1" xfId="12" applyNumberFormat="1" applyFont="1" applyFill="1" applyBorder="1" applyAlignment="1">
      <alignment horizontal="right" vertical="center" wrapText="1"/>
    </xf>
    <xf numFmtId="3" fontId="6" fillId="2" borderId="1" xfId="5" applyNumberFormat="1" applyFont="1" applyFill="1" applyBorder="1" applyAlignment="1">
      <alignment horizontal="right" vertical="center"/>
    </xf>
    <xf numFmtId="3" fontId="6" fillId="2" borderId="1" xfId="5" applyNumberFormat="1" applyFont="1" applyFill="1" applyBorder="1" applyAlignment="1">
      <alignment horizontal="center" vertical="center"/>
    </xf>
    <xf numFmtId="3" fontId="6" fillId="2" borderId="1" xfId="8" applyNumberFormat="1" applyFont="1" applyFill="1" applyBorder="1" applyAlignment="1">
      <alignment horizontal="right" vertical="center" wrapText="1"/>
    </xf>
    <xf numFmtId="3" fontId="6" fillId="2" borderId="1" xfId="13" applyNumberFormat="1" applyFont="1" applyFill="1" applyBorder="1" applyAlignment="1">
      <alignment horizontal="right" vertical="center"/>
    </xf>
    <xf numFmtId="0" fontId="9"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3" fontId="21" fillId="2" borderId="1" xfId="0" applyNumberFormat="1" applyFont="1" applyFill="1" applyBorder="1" applyAlignment="1">
      <alignment horizontal="right" vertical="center"/>
    </xf>
    <xf numFmtId="3" fontId="21" fillId="2" borderId="1" xfId="0" applyNumberFormat="1" applyFont="1" applyFill="1" applyBorder="1" applyAlignment="1">
      <alignment vertical="center"/>
    </xf>
    <xf numFmtId="3" fontId="21" fillId="2" borderId="1" xfId="0" applyNumberFormat="1" applyFont="1" applyFill="1" applyBorder="1" applyAlignment="1">
      <alignment horizontal="left" vertical="center"/>
    </xf>
    <xf numFmtId="0" fontId="9" fillId="2" borderId="1" xfId="0" quotePrefix="1" applyFont="1" applyFill="1" applyBorder="1" applyAlignment="1">
      <alignment horizontal="center" vertical="center"/>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3" fontId="6" fillId="2" borderId="1" xfId="0" applyNumberFormat="1" applyFont="1" applyFill="1" applyBorder="1" applyAlignment="1">
      <alignment horizontal="right" vertical="center"/>
    </xf>
    <xf numFmtId="3" fontId="6" fillId="2" borderId="1" xfId="0" applyNumberFormat="1" applyFont="1" applyFill="1" applyBorder="1" applyAlignment="1">
      <alignment horizontal="center" vertical="center"/>
    </xf>
    <xf numFmtId="3" fontId="6" fillId="2" borderId="1" xfId="8" applyNumberFormat="1" applyFont="1" applyFill="1" applyBorder="1"/>
    <xf numFmtId="3" fontId="10" fillId="2" borderId="1" xfId="13" applyNumberFormat="1" applyFont="1" applyFill="1" applyBorder="1" applyAlignment="1">
      <alignment horizontal="center" vertical="center" wrapText="1"/>
    </xf>
    <xf numFmtId="165" fontId="10" fillId="2" borderId="1" xfId="8" applyNumberFormat="1" applyFont="1" applyFill="1" applyBorder="1" applyAlignment="1">
      <alignment horizontal="center" vertical="center" wrapText="1"/>
    </xf>
    <xf numFmtId="0" fontId="10" fillId="2" borderId="1" xfId="16" applyFont="1" applyFill="1" applyBorder="1" applyAlignment="1">
      <alignment horizontal="left" vertical="center" wrapText="1"/>
    </xf>
    <xf numFmtId="0" fontId="10" fillId="2" borderId="1" xfId="17" applyFont="1" applyFill="1" applyBorder="1" applyAlignment="1">
      <alignment horizontal="left" vertical="center" wrapText="1"/>
    </xf>
    <xf numFmtId="167" fontId="10" fillId="3" borderId="1" xfId="18" applyNumberFormat="1" applyFont="1" applyFill="1" applyBorder="1" applyAlignment="1">
      <alignment horizontal="center" vertical="center" wrapText="1"/>
    </xf>
    <xf numFmtId="3" fontId="10" fillId="2" borderId="1" xfId="5" applyNumberFormat="1" applyFont="1" applyFill="1" applyBorder="1" applyAlignment="1" applyProtection="1">
      <alignment horizontal="left" vertical="center" wrapText="1"/>
      <protection locked="0"/>
    </xf>
    <xf numFmtId="0" fontId="10" fillId="2" borderId="1" xfId="5" applyFont="1" applyFill="1" applyBorder="1" applyAlignment="1">
      <alignment horizontal="center" vertical="center" wrapText="1"/>
    </xf>
    <xf numFmtId="3" fontId="6" fillId="3" borderId="1" xfId="8" applyNumberFormat="1" applyFont="1" applyFill="1" applyBorder="1" applyAlignment="1">
      <alignment horizontal="right" vertical="center" wrapText="1"/>
    </xf>
    <xf numFmtId="0" fontId="10" fillId="3" borderId="1" xfId="17" applyFont="1" applyFill="1" applyBorder="1" applyAlignment="1">
      <alignment horizontal="center" vertical="center" wrapText="1"/>
    </xf>
    <xf numFmtId="3" fontId="6" fillId="3" borderId="1" xfId="17" applyNumberFormat="1" applyFont="1" applyFill="1" applyBorder="1" applyAlignment="1">
      <alignment horizontal="right" vertical="center" wrapText="1"/>
    </xf>
    <xf numFmtId="3" fontId="6" fillId="3" borderId="1" xfId="18" applyNumberFormat="1" applyFont="1" applyFill="1" applyBorder="1" applyAlignment="1">
      <alignment horizontal="right" vertical="center" wrapText="1"/>
    </xf>
    <xf numFmtId="3" fontId="6" fillId="2" borderId="1" xfId="17" applyNumberFormat="1" applyFont="1" applyFill="1" applyBorder="1" applyAlignment="1">
      <alignment horizontal="right" vertical="center"/>
    </xf>
    <xf numFmtId="0" fontId="10" fillId="2" borderId="1" xfId="19" applyFont="1" applyFill="1" applyBorder="1" applyAlignment="1">
      <alignment horizontal="left" vertical="center" wrapText="1"/>
    </xf>
    <xf numFmtId="0" fontId="11" fillId="2" borderId="1" xfId="19" applyFont="1" applyFill="1" applyBorder="1" applyAlignment="1">
      <alignment horizontal="left" vertical="center" wrapText="1"/>
    </xf>
    <xf numFmtId="0" fontId="23" fillId="2" borderId="1" xfId="0" applyFont="1" applyFill="1" applyBorder="1" applyAlignment="1">
      <alignment horizontal="center" vertical="center" wrapText="1"/>
    </xf>
    <xf numFmtId="0" fontId="4" fillId="2" borderId="1" xfId="2" applyFont="1" applyFill="1" applyBorder="1" applyAlignment="1">
      <alignment horizontal="left" vertical="center"/>
    </xf>
    <xf numFmtId="3" fontId="5" fillId="2" borderId="1" xfId="2" applyNumberFormat="1" applyFont="1" applyFill="1" applyBorder="1" applyAlignment="1">
      <alignment vertical="center"/>
    </xf>
    <xf numFmtId="3" fontId="5" fillId="2" borderId="1" xfId="2" applyNumberFormat="1" applyFont="1" applyFill="1" applyBorder="1" applyAlignment="1">
      <alignment horizontal="center" vertical="center"/>
    </xf>
    <xf numFmtId="0" fontId="9" fillId="2" borderId="2" xfId="3" applyFont="1" applyFill="1" applyBorder="1" applyAlignment="1">
      <alignment horizontal="center" vertical="center" wrapText="1"/>
    </xf>
    <xf numFmtId="0" fontId="4" fillId="2" borderId="1" xfId="2" applyFont="1" applyFill="1" applyBorder="1" applyAlignment="1">
      <alignment horizontal="left" vertical="center" wrapText="1"/>
    </xf>
    <xf numFmtId="0" fontId="4" fillId="2" borderId="2" xfId="3" applyFont="1" applyFill="1" applyBorder="1" applyAlignment="1">
      <alignment horizontal="center" vertical="center"/>
    </xf>
    <xf numFmtId="3" fontId="5" fillId="2" borderId="2" xfId="3" applyNumberFormat="1" applyFont="1" applyFill="1" applyBorder="1" applyAlignment="1">
      <alignment horizontal="right" vertical="center" wrapText="1"/>
    </xf>
    <xf numFmtId="3" fontId="5" fillId="2" borderId="1" xfId="3" applyNumberFormat="1" applyFont="1" applyFill="1" applyBorder="1" applyAlignment="1">
      <alignment horizontal="right" vertical="center" wrapText="1"/>
    </xf>
    <xf numFmtId="3" fontId="6" fillId="2" borderId="1" xfId="3" applyNumberFormat="1" applyFont="1" applyFill="1" applyBorder="1" applyAlignment="1">
      <alignment vertical="center"/>
    </xf>
    <xf numFmtId="3" fontId="6" fillId="2" borderId="1" xfId="3" applyNumberFormat="1" applyFont="1" applyFill="1" applyBorder="1"/>
    <xf numFmtId="3" fontId="6" fillId="2" borderId="1" xfId="5" applyNumberFormat="1" applyFont="1" applyFill="1" applyBorder="1" applyAlignment="1">
      <alignment vertical="center"/>
    </xf>
    <xf numFmtId="0" fontId="9" fillId="2" borderId="1" xfId="3" applyFont="1" applyFill="1" applyBorder="1" applyAlignment="1">
      <alignment horizontal="center" vertical="center"/>
    </xf>
    <xf numFmtId="0" fontId="4" fillId="2" borderId="1" xfId="3" applyFont="1" applyFill="1" applyBorder="1" applyAlignment="1">
      <alignment horizontal="center" vertical="center" wrapText="1"/>
    </xf>
    <xf numFmtId="3" fontId="5" fillId="2" borderId="1" xfId="3" applyNumberFormat="1" applyFont="1" applyFill="1" applyBorder="1" applyAlignment="1">
      <alignment horizontal="right" vertical="center"/>
    </xf>
    <xf numFmtId="3" fontId="6" fillId="2" borderId="1" xfId="3" applyNumberFormat="1" applyFont="1" applyFill="1" applyBorder="1" applyAlignment="1">
      <alignment horizontal="right" vertical="center"/>
    </xf>
    <xf numFmtId="3" fontId="6" fillId="2" borderId="1" xfId="1" applyNumberFormat="1" applyFont="1" applyFill="1" applyBorder="1" applyAlignment="1">
      <alignment horizontal="center" vertical="center"/>
    </xf>
    <xf numFmtId="3" fontId="6" fillId="2" borderId="1" xfId="25" applyNumberFormat="1" applyFont="1" applyFill="1" applyBorder="1" applyAlignment="1">
      <alignment horizontal="right" vertical="center"/>
    </xf>
    <xf numFmtId="3" fontId="5" fillId="2" borderId="1" xfId="5" applyNumberFormat="1" applyFont="1" applyFill="1" applyBorder="1" applyAlignment="1">
      <alignment horizontal="right" vertical="center"/>
    </xf>
    <xf numFmtId="3" fontId="5" fillId="2" borderId="1" xfId="26" applyNumberFormat="1" applyFont="1" applyFill="1" applyBorder="1" applyAlignment="1">
      <alignment horizontal="right" vertical="center"/>
    </xf>
    <xf numFmtId="0" fontId="9" fillId="2" borderId="1" xfId="21" applyFont="1" applyFill="1" applyBorder="1" applyAlignment="1">
      <alignment horizontal="center" vertical="center"/>
    </xf>
    <xf numFmtId="2" fontId="10" fillId="2" borderId="1" xfId="21" applyNumberFormat="1" applyFont="1" applyFill="1" applyBorder="1" applyAlignment="1">
      <alignment horizontal="left" vertical="center" wrapText="1"/>
    </xf>
    <xf numFmtId="0" fontId="10" fillId="2" borderId="1" xfId="28" applyFont="1" applyFill="1" applyBorder="1" applyAlignment="1">
      <alignment horizontal="center" vertical="center" wrapText="1"/>
    </xf>
    <xf numFmtId="0" fontId="10" fillId="2" borderId="1" xfId="29" applyFont="1" applyFill="1" applyBorder="1" applyAlignment="1">
      <alignment horizontal="center" vertical="center" wrapText="1"/>
    </xf>
    <xf numFmtId="0" fontId="10" fillId="2" borderId="1" xfId="21" applyFont="1" applyFill="1" applyBorder="1" applyAlignment="1">
      <alignment horizontal="center" vertical="center" wrapText="1"/>
    </xf>
    <xf numFmtId="3" fontId="6" fillId="2" borderId="1" xfId="30" applyNumberFormat="1" applyFont="1" applyFill="1" applyBorder="1" applyAlignment="1">
      <alignment horizontal="right" vertical="center"/>
    </xf>
    <xf numFmtId="3" fontId="6" fillId="2" borderId="4" xfId="31" applyNumberFormat="1" applyFont="1" applyFill="1" applyBorder="1" applyAlignment="1">
      <alignment horizontal="right" vertical="center" wrapText="1"/>
    </xf>
    <xf numFmtId="3" fontId="6" fillId="2" borderId="4" xfId="5" applyNumberFormat="1" applyFont="1" applyFill="1" applyBorder="1" applyAlignment="1">
      <alignment horizontal="right" vertical="center"/>
    </xf>
    <xf numFmtId="3" fontId="6" fillId="2" borderId="1" xfId="21" applyNumberFormat="1" applyFont="1" applyFill="1" applyBorder="1" applyAlignment="1">
      <alignment horizontal="right" vertical="center"/>
    </xf>
    <xf numFmtId="3" fontId="26" fillId="2" borderId="1" xfId="21" applyNumberFormat="1" applyFont="1" applyFill="1" applyBorder="1" applyAlignment="1">
      <alignment vertical="center"/>
    </xf>
    <xf numFmtId="0" fontId="9" fillId="2" borderId="1" xfId="3" applyFont="1" applyFill="1" applyBorder="1" applyAlignment="1">
      <alignment horizontal="center" vertical="center" wrapText="1"/>
    </xf>
    <xf numFmtId="0" fontId="4" fillId="2" borderId="1" xfId="4" applyFont="1" applyFill="1" applyBorder="1" applyAlignment="1">
      <alignment horizontal="left" vertical="center" wrapText="1"/>
    </xf>
    <xf numFmtId="0" fontId="4" fillId="2" borderId="1" xfId="5" applyFont="1" applyFill="1" applyBorder="1" applyAlignment="1">
      <alignment horizontal="center" vertical="center"/>
    </xf>
    <xf numFmtId="49" fontId="4" fillId="2" borderId="1" xfId="5" applyNumberFormat="1" applyFont="1" applyFill="1" applyBorder="1" applyAlignment="1">
      <alignment horizontal="center" vertical="center"/>
    </xf>
    <xf numFmtId="3" fontId="4" fillId="2" borderId="1" xfId="5" applyNumberFormat="1" applyFont="1" applyFill="1" applyBorder="1" applyAlignment="1">
      <alignment horizontal="center" vertical="center"/>
    </xf>
    <xf numFmtId="3" fontId="6" fillId="2" borderId="1" xfId="6" applyNumberFormat="1" applyFont="1" applyFill="1" applyBorder="1" applyAlignment="1">
      <alignment horizontal="right" vertical="center" wrapText="1"/>
    </xf>
    <xf numFmtId="3" fontId="6" fillId="2" borderId="1" xfId="6" applyNumberFormat="1" applyFont="1" applyFill="1" applyBorder="1" applyAlignment="1">
      <alignment vertical="center" wrapText="1"/>
    </xf>
    <xf numFmtId="3" fontId="7" fillId="2" borderId="1" xfId="0" applyNumberFormat="1" applyFont="1" applyFill="1" applyBorder="1" applyAlignment="1">
      <alignment vertical="center"/>
    </xf>
    <xf numFmtId="0" fontId="4" fillId="2" borderId="1" xfId="2" applyFont="1" applyFill="1" applyBorder="1" applyAlignment="1">
      <alignment horizontal="center" vertical="center" wrapText="1"/>
    </xf>
    <xf numFmtId="0" fontId="10" fillId="2" borderId="1" xfId="0" applyFont="1" applyFill="1" applyBorder="1" applyAlignment="1">
      <alignment horizontal="center"/>
    </xf>
    <xf numFmtId="3" fontId="5" fillId="2" borderId="1" xfId="0" applyNumberFormat="1" applyFont="1" applyFill="1" applyBorder="1" applyAlignment="1">
      <alignment horizontal="right"/>
    </xf>
    <xf numFmtId="0" fontId="4" fillId="2" borderId="1" xfId="0" applyFont="1" applyFill="1" applyBorder="1" applyAlignment="1">
      <alignment horizontal="center"/>
    </xf>
    <xf numFmtId="3" fontId="5" fillId="2" borderId="1" xfId="0" applyNumberFormat="1" applyFont="1" applyFill="1" applyBorder="1"/>
    <xf numFmtId="3" fontId="19" fillId="2" borderId="1" xfId="0" applyNumberFormat="1" applyFont="1" applyFill="1" applyBorder="1" applyAlignment="1">
      <alignment vertical="center"/>
    </xf>
    <xf numFmtId="3" fontId="19" fillId="2" borderId="1" xfId="0" applyNumberFormat="1" applyFont="1" applyFill="1" applyBorder="1"/>
    <xf numFmtId="0" fontId="9" fillId="2" borderId="1" xfId="14" applyFont="1" applyFill="1" applyBorder="1" applyAlignment="1">
      <alignment horizontal="center" vertical="center" wrapText="1"/>
    </xf>
    <xf numFmtId="0" fontId="9" fillId="2" borderId="1" xfId="5" applyFont="1" applyFill="1" applyBorder="1" applyAlignment="1">
      <alignment horizontal="center" vertical="center"/>
    </xf>
    <xf numFmtId="49" fontId="4" fillId="2" borderId="1" xfId="5" applyNumberFormat="1" applyFont="1" applyFill="1" applyBorder="1" applyAlignment="1">
      <alignment horizontal="center" vertical="center" wrapText="1"/>
    </xf>
    <xf numFmtId="49" fontId="4" fillId="2" borderId="1" xfId="15" applyNumberFormat="1" applyFont="1" applyFill="1" applyBorder="1" applyAlignment="1">
      <alignment horizontal="center" vertical="center" wrapText="1"/>
    </xf>
    <xf numFmtId="3" fontId="4" fillId="2" borderId="1" xfId="15" applyNumberFormat="1" applyFont="1" applyFill="1" applyBorder="1" applyAlignment="1">
      <alignment horizontal="center" vertical="center" wrapText="1"/>
    </xf>
    <xf numFmtId="3" fontId="5" fillId="2" borderId="1" xfId="15" applyNumberFormat="1" applyFont="1" applyFill="1" applyBorder="1" applyAlignment="1">
      <alignment horizontal="right" vertical="center" wrapText="1"/>
    </xf>
    <xf numFmtId="3" fontId="6" fillId="2" borderId="1" xfId="20" applyNumberFormat="1" applyFont="1" applyFill="1" applyBorder="1" applyAlignment="1">
      <alignment horizontal="right" vertical="center"/>
    </xf>
    <xf numFmtId="3" fontId="6" fillId="2" borderId="4" xfId="6" applyNumberFormat="1" applyFont="1" applyFill="1" applyBorder="1" applyAlignment="1">
      <alignment horizontal="right" vertical="center" wrapText="1"/>
    </xf>
    <xf numFmtId="3" fontId="6" fillId="2" borderId="1" xfId="1" applyNumberFormat="1" applyFont="1" applyFill="1" applyBorder="1" applyAlignment="1">
      <alignment vertical="center" wrapText="1"/>
    </xf>
    <xf numFmtId="0" fontId="10" fillId="2" borderId="1" xfId="21" applyFont="1" applyFill="1" applyBorder="1" applyAlignment="1">
      <alignment horizontal="left" vertical="center" wrapText="1"/>
    </xf>
    <xf numFmtId="3" fontId="5" fillId="2" borderId="1" xfId="1" applyNumberFormat="1" applyFont="1" applyFill="1" applyBorder="1" applyAlignment="1">
      <alignment horizontal="left" vertical="center"/>
    </xf>
    <xf numFmtId="3" fontId="6" fillId="2" borderId="1" xfId="1" applyNumberFormat="1" applyFont="1" applyFill="1" applyBorder="1" applyAlignment="1">
      <alignment horizontal="left" vertical="center"/>
    </xf>
    <xf numFmtId="3" fontId="6" fillId="2" borderId="1" xfId="22" applyNumberFormat="1" applyFont="1" applyFill="1" applyBorder="1" applyAlignment="1">
      <alignment horizontal="right" vertical="center"/>
    </xf>
    <xf numFmtId="3" fontId="6" fillId="2" borderId="1" xfId="1" applyNumberFormat="1" applyFont="1" applyFill="1" applyBorder="1" applyAlignment="1">
      <alignment horizontal="right" vertical="center"/>
    </xf>
    <xf numFmtId="3" fontId="7" fillId="2" borderId="1" xfId="1" applyNumberFormat="1" applyFont="1" applyFill="1" applyBorder="1" applyAlignment="1">
      <alignment horizontal="center" vertical="center"/>
    </xf>
    <xf numFmtId="49" fontId="10" fillId="2" borderId="1" xfId="6" applyNumberFormat="1" applyFont="1" applyFill="1" applyBorder="1" applyAlignment="1">
      <alignment horizontal="center" vertical="center" wrapText="1"/>
    </xf>
    <xf numFmtId="165" fontId="9" fillId="2" borderId="1" xfId="6" quotePrefix="1" applyNumberFormat="1" applyFont="1" applyFill="1" applyBorder="1" applyAlignment="1">
      <alignment horizontal="center" vertical="center" wrapText="1"/>
    </xf>
    <xf numFmtId="3" fontId="7" fillId="2" borderId="1" xfId="2" applyNumberFormat="1" applyFont="1" applyFill="1" applyBorder="1" applyAlignment="1">
      <alignment vertical="center"/>
    </xf>
    <xf numFmtId="3" fontId="7" fillId="2" borderId="1" xfId="8" applyNumberFormat="1" applyFont="1" applyFill="1" applyBorder="1"/>
    <xf numFmtId="0" fontId="4" fillId="2" borderId="1" xfId="23" applyFont="1" applyFill="1" applyBorder="1" applyAlignment="1">
      <alignment horizontal="left" vertical="center" wrapText="1"/>
    </xf>
    <xf numFmtId="0" fontId="10" fillId="2" borderId="5" xfId="24" applyFont="1" applyFill="1" applyBorder="1" applyAlignment="1">
      <alignment horizontal="center" vertical="center" wrapText="1"/>
    </xf>
    <xf numFmtId="0" fontId="4" fillId="2" borderId="1" xfId="2" applyFont="1" applyFill="1" applyBorder="1" applyAlignment="1">
      <alignment horizontal="right" vertical="center" wrapText="1"/>
    </xf>
    <xf numFmtId="0" fontId="4" fillId="2" borderId="1" xfId="2" applyFont="1" applyFill="1" applyBorder="1" applyAlignment="1">
      <alignment horizontal="right" vertical="center"/>
    </xf>
    <xf numFmtId="0" fontId="9" fillId="2" borderId="1" xfId="14" applyFont="1" applyFill="1" applyBorder="1" applyAlignment="1">
      <alignment horizontal="center" vertical="center"/>
    </xf>
    <xf numFmtId="0" fontId="4" fillId="2" borderId="1" xfId="14" applyFont="1" applyFill="1" applyBorder="1" applyAlignment="1">
      <alignment horizontal="left" vertical="center" wrapText="1"/>
    </xf>
    <xf numFmtId="0" fontId="4" fillId="2" borderId="1" xfId="14" applyFont="1" applyFill="1" applyBorder="1" applyAlignment="1">
      <alignment horizontal="center" vertical="center" wrapText="1"/>
    </xf>
    <xf numFmtId="166" fontId="9" fillId="2" borderId="1" xfId="26" applyFont="1" applyFill="1" applyBorder="1" applyAlignment="1">
      <alignment horizontal="center" vertical="center"/>
    </xf>
    <xf numFmtId="166" fontId="4" fillId="2" borderId="1" xfId="26" applyFont="1" applyFill="1" applyBorder="1" applyAlignment="1">
      <alignment horizontal="left" vertical="center" wrapText="1"/>
    </xf>
    <xf numFmtId="166" fontId="4" fillId="2" borderId="1" xfId="26" applyFont="1" applyFill="1" applyBorder="1" applyAlignment="1">
      <alignment horizontal="center" vertical="center" wrapText="1"/>
    </xf>
    <xf numFmtId="3" fontId="6" fillId="2" borderId="1" xfId="27" applyNumberFormat="1" applyFont="1" applyFill="1" applyBorder="1" applyAlignment="1">
      <alignment horizontal="right" vertical="center"/>
    </xf>
    <xf numFmtId="3" fontId="6" fillId="2" borderId="1" xfId="27" applyNumberFormat="1" applyFont="1" applyFill="1" applyBorder="1" applyAlignment="1">
      <alignment horizontal="right" vertical="center" wrapText="1"/>
    </xf>
    <xf numFmtId="0" fontId="10" fillId="2" borderId="1" xfId="21" applyFont="1" applyFill="1" applyBorder="1" applyAlignment="1">
      <alignment horizontal="center" vertical="center"/>
    </xf>
    <xf numFmtId="0" fontId="10" fillId="2" borderId="1" xfId="32" applyFont="1" applyFill="1" applyBorder="1" applyAlignment="1">
      <alignment horizontal="center" vertical="center" wrapText="1"/>
    </xf>
    <xf numFmtId="0" fontId="10" fillId="2" borderId="1" xfId="21" applyFont="1" applyFill="1" applyBorder="1" applyAlignment="1">
      <alignment horizontal="center" wrapText="1"/>
    </xf>
    <xf numFmtId="3" fontId="6" fillId="2" borderId="1" xfId="33" applyNumberFormat="1" applyFont="1" applyFill="1" applyBorder="1" applyAlignment="1">
      <alignment horizontal="right" vertical="center" wrapText="1"/>
    </xf>
    <xf numFmtId="0" fontId="4" fillId="2" borderId="1" xfId="2" quotePrefix="1" applyFont="1" applyFill="1" applyBorder="1" applyAlignment="1">
      <alignment horizontal="center" vertical="center"/>
    </xf>
    <xf numFmtId="0" fontId="4" fillId="2" borderId="1" xfId="23" applyFont="1" applyFill="1" applyBorder="1" applyAlignment="1">
      <alignment horizontal="center" vertical="center" wrapText="1"/>
    </xf>
    <xf numFmtId="165" fontId="11" fillId="2" borderId="1" xfId="6" applyNumberFormat="1" applyFont="1" applyFill="1" applyBorder="1" applyAlignment="1">
      <alignment horizontal="center" vertical="center" wrapText="1"/>
    </xf>
    <xf numFmtId="49" fontId="23" fillId="2" borderId="1" xfId="6" applyNumberFormat="1" applyFont="1" applyFill="1" applyBorder="1" applyAlignment="1">
      <alignment horizontal="center" vertical="center" wrapText="1"/>
    </xf>
    <xf numFmtId="0" fontId="23" fillId="2" borderId="5" xfId="24" applyFont="1" applyFill="1" applyBorder="1" applyAlignment="1">
      <alignment horizontal="center" vertical="center" wrapText="1"/>
    </xf>
    <xf numFmtId="0" fontId="9" fillId="2" borderId="1" xfId="34" applyFont="1" applyFill="1" applyBorder="1" applyAlignment="1">
      <alignment horizontal="center" vertical="center"/>
    </xf>
    <xf numFmtId="0" fontId="4" fillId="2" borderId="1" xfId="35" applyFont="1" applyFill="1" applyBorder="1" applyAlignment="1">
      <alignment horizontal="left" vertical="center" wrapText="1"/>
    </xf>
    <xf numFmtId="0" fontId="10" fillId="2" borderId="1" xfId="34" applyFont="1" applyFill="1" applyBorder="1" applyAlignment="1">
      <alignment horizontal="center" vertical="center" wrapText="1"/>
    </xf>
    <xf numFmtId="0" fontId="10" fillId="2" borderId="1" xfId="35" applyFont="1" applyFill="1" applyBorder="1" applyAlignment="1">
      <alignment horizontal="center" vertical="center"/>
    </xf>
    <xf numFmtId="0" fontId="4" fillId="2" borderId="1" xfId="34" applyFont="1" applyFill="1" applyBorder="1" applyAlignment="1">
      <alignment horizontal="left" vertical="center"/>
    </xf>
    <xf numFmtId="0" fontId="10" fillId="2" borderId="1" xfId="35" applyFont="1" applyFill="1" applyBorder="1" applyAlignment="1">
      <alignment horizontal="center" vertical="center" wrapText="1"/>
    </xf>
    <xf numFmtId="0" fontId="27" fillId="2" borderId="0" xfId="2" applyFont="1" applyFill="1" applyAlignment="1">
      <alignment horizontal="center" vertical="center"/>
    </xf>
    <xf numFmtId="0" fontId="11" fillId="2" borderId="6" xfId="34" applyFont="1" applyFill="1" applyBorder="1" applyAlignment="1">
      <alignment vertical="center"/>
    </xf>
    <xf numFmtId="0" fontId="8" fillId="2" borderId="6" xfId="34" applyFont="1" applyFill="1" applyBorder="1" applyAlignment="1">
      <alignment vertical="center"/>
    </xf>
    <xf numFmtId="3" fontId="11" fillId="2" borderId="1" xfId="13" applyNumberFormat="1" applyFont="1" applyFill="1" applyBorder="1" applyAlignment="1">
      <alignment horizontal="right" vertical="center"/>
    </xf>
    <xf numFmtId="3" fontId="11" fillId="2" borderId="1" xfId="21" applyNumberFormat="1" applyFont="1" applyFill="1" applyBorder="1" applyAlignment="1">
      <alignment vertical="center"/>
    </xf>
    <xf numFmtId="3" fontId="28" fillId="2" borderId="0" xfId="2" applyNumberFormat="1" applyFont="1" applyFill="1" applyAlignment="1">
      <alignment horizontal="right" vertical="center"/>
    </xf>
    <xf numFmtId="0" fontId="29" fillId="2" borderId="0" xfId="0" applyFont="1" applyFill="1"/>
    <xf numFmtId="3" fontId="29" fillId="2" borderId="0" xfId="2" applyNumberFormat="1" applyFont="1" applyFill="1" applyAlignment="1">
      <alignment horizontal="right" vertical="center"/>
    </xf>
    <xf numFmtId="0" fontId="30" fillId="2" borderId="0" xfId="2" applyFont="1" applyFill="1" applyAlignment="1">
      <alignment horizontal="center" vertical="center"/>
    </xf>
    <xf numFmtId="3" fontId="31" fillId="2" borderId="0" xfId="2" applyNumberFormat="1" applyFont="1" applyFill="1" applyAlignment="1">
      <alignment horizontal="right" vertical="center"/>
    </xf>
    <xf numFmtId="0" fontId="30" fillId="2" borderId="0" xfId="0" applyFont="1" applyFill="1"/>
    <xf numFmtId="3" fontId="30" fillId="2" borderId="1" xfId="2" applyNumberFormat="1" applyFont="1" applyFill="1" applyBorder="1" applyAlignment="1">
      <alignment horizontal="center" vertical="center" wrapText="1"/>
    </xf>
    <xf numFmtId="3" fontId="30" fillId="2" borderId="1" xfId="2" applyNumberFormat="1" applyFont="1" applyFill="1" applyBorder="1" applyAlignment="1">
      <alignment horizontal="center" vertical="center"/>
    </xf>
    <xf numFmtId="3" fontId="28" fillId="2" borderId="1" xfId="2" applyNumberFormat="1" applyFont="1" applyFill="1" applyBorder="1" applyAlignment="1">
      <alignment horizontal="right" vertical="center"/>
    </xf>
    <xf numFmtId="3" fontId="28" fillId="2" borderId="1" xfId="5" applyNumberFormat="1" applyFont="1" applyFill="1" applyBorder="1" applyAlignment="1">
      <alignment horizontal="right" vertical="center"/>
    </xf>
    <xf numFmtId="3" fontId="29" fillId="2" borderId="1" xfId="0" applyNumberFormat="1" applyFont="1" applyFill="1" applyBorder="1" applyAlignment="1">
      <alignment vertical="center"/>
    </xf>
    <xf numFmtId="3" fontId="29" fillId="2" borderId="1" xfId="2" applyNumberFormat="1" applyFont="1" applyFill="1" applyBorder="1" applyAlignment="1">
      <alignment horizontal="center" vertical="center"/>
    </xf>
    <xf numFmtId="3" fontId="29" fillId="2" borderId="1" xfId="0" applyNumberFormat="1" applyFont="1" applyFill="1" applyBorder="1"/>
    <xf numFmtId="3" fontId="29" fillId="2" borderId="1" xfId="5" applyNumberFormat="1" applyFont="1" applyFill="1" applyBorder="1" applyAlignment="1">
      <alignment horizontal="center" vertical="center"/>
    </xf>
    <xf numFmtId="3" fontId="28" fillId="2" borderId="1" xfId="0" applyNumberFormat="1" applyFont="1" applyFill="1" applyBorder="1" applyAlignment="1">
      <alignment horizontal="right"/>
    </xf>
    <xf numFmtId="3" fontId="28" fillId="2" borderId="1" xfId="15" applyNumberFormat="1" applyFont="1" applyFill="1" applyBorder="1" applyAlignment="1">
      <alignment horizontal="right" vertical="center" wrapText="1"/>
    </xf>
    <xf numFmtId="3" fontId="29" fillId="2" borderId="1" xfId="6" applyNumberFormat="1" applyFont="1" applyFill="1" applyBorder="1" applyAlignment="1">
      <alignment vertical="center" wrapText="1"/>
    </xf>
    <xf numFmtId="3" fontId="29" fillId="2" borderId="1" xfId="1" applyNumberFormat="1" applyFont="1" applyFill="1" applyBorder="1" applyAlignment="1">
      <alignment vertical="center" wrapText="1"/>
    </xf>
    <xf numFmtId="3" fontId="29" fillId="2" borderId="1" xfId="1" applyNumberFormat="1" applyFont="1" applyFill="1" applyBorder="1" applyAlignment="1">
      <alignment vertical="center"/>
    </xf>
    <xf numFmtId="3" fontId="29" fillId="2" borderId="1" xfId="1" applyNumberFormat="1" applyFont="1" applyFill="1" applyBorder="1" applyAlignment="1">
      <alignment horizontal="left" vertical="center"/>
    </xf>
    <xf numFmtId="3" fontId="29" fillId="2" borderId="1" xfId="1" applyNumberFormat="1" applyFont="1" applyFill="1" applyBorder="1" applyAlignment="1">
      <alignment horizontal="center" vertical="center"/>
    </xf>
    <xf numFmtId="3" fontId="29" fillId="2" borderId="1" xfId="1" applyNumberFormat="1" applyFont="1" applyFill="1" applyBorder="1"/>
    <xf numFmtId="3" fontId="28" fillId="2" borderId="1" xfId="2" applyNumberFormat="1" applyFont="1" applyFill="1" applyBorder="1" applyAlignment="1">
      <alignment vertical="center"/>
    </xf>
    <xf numFmtId="3" fontId="28" fillId="2" borderId="1" xfId="3" applyNumberFormat="1" applyFont="1" applyFill="1" applyBorder="1" applyAlignment="1">
      <alignment horizontal="right" vertical="center" wrapText="1"/>
    </xf>
    <xf numFmtId="3" fontId="28" fillId="2" borderId="1" xfId="26" applyNumberFormat="1" applyFont="1" applyFill="1" applyBorder="1" applyAlignment="1">
      <alignment horizontal="right" vertical="center"/>
    </xf>
    <xf numFmtId="3" fontId="29" fillId="2" borderId="1" xfId="21" applyNumberFormat="1" applyFont="1" applyFill="1" applyBorder="1" applyAlignment="1">
      <alignment vertical="center"/>
    </xf>
    <xf numFmtId="3" fontId="29" fillId="2" borderId="1" xfId="21" applyNumberFormat="1" applyFont="1" applyFill="1" applyBorder="1" applyAlignment="1">
      <alignment horizontal="right" vertical="center"/>
    </xf>
    <xf numFmtId="3" fontId="29" fillId="2" borderId="1" xfId="33" applyNumberFormat="1" applyFont="1" applyFill="1" applyBorder="1" applyAlignment="1">
      <alignment horizontal="right" vertical="center" wrapText="1"/>
    </xf>
    <xf numFmtId="3" fontId="28" fillId="2" borderId="1" xfId="3" applyNumberFormat="1" applyFont="1" applyFill="1" applyBorder="1" applyAlignment="1">
      <alignment horizontal="right" vertical="center"/>
    </xf>
    <xf numFmtId="3" fontId="28" fillId="2" borderId="2" xfId="3" applyNumberFormat="1" applyFont="1" applyFill="1" applyBorder="1" applyAlignment="1">
      <alignment horizontal="right" vertical="center" wrapText="1"/>
    </xf>
    <xf numFmtId="3" fontId="28" fillId="2" borderId="1" xfId="2" applyNumberFormat="1" applyFont="1" applyFill="1" applyBorder="1" applyAlignment="1">
      <alignment horizontal="center" vertical="center"/>
    </xf>
    <xf numFmtId="0" fontId="33" fillId="2" borderId="0" xfId="2" applyFont="1" applyFill="1" applyAlignment="1">
      <alignment horizontal="center" vertical="center"/>
    </xf>
    <xf numFmtId="0" fontId="30" fillId="2" borderId="6" xfId="34" applyFont="1" applyFill="1" applyBorder="1" applyAlignment="1">
      <alignment vertical="center"/>
    </xf>
    <xf numFmtId="0" fontId="9" fillId="2" borderId="1" xfId="2" applyFont="1" applyFill="1" applyBorder="1" applyAlignment="1">
      <alignment horizontal="center" vertical="center"/>
    </xf>
    <xf numFmtId="0" fontId="9" fillId="2" borderId="1" xfId="2" applyFont="1" applyFill="1" applyBorder="1" applyAlignment="1">
      <alignment horizontal="center" vertical="center" wrapText="1"/>
    </xf>
    <xf numFmtId="0" fontId="3" fillId="2" borderId="0" xfId="2" applyFont="1" applyFill="1" applyAlignment="1">
      <alignment horizontal="left" vertical="center"/>
    </xf>
    <xf numFmtId="3" fontId="5" fillId="2" borderId="0" xfId="2" applyNumberFormat="1" applyFont="1" applyFill="1" applyAlignment="1">
      <alignment horizontal="right" vertical="center"/>
    </xf>
    <xf numFmtId="0" fontId="3" fillId="2" borderId="0" xfId="2" applyFont="1" applyFill="1" applyAlignment="1">
      <alignment horizontal="center" vertical="center"/>
    </xf>
    <xf numFmtId="3" fontId="9" fillId="2" borderId="1" xfId="2" applyNumberFormat="1" applyFont="1" applyFill="1" applyBorder="1" applyAlignment="1">
      <alignment horizontal="center" vertical="center" wrapText="1"/>
    </xf>
    <xf numFmtId="3" fontId="9" fillId="2" borderId="1" xfId="2" applyNumberFormat="1" applyFont="1" applyFill="1" applyBorder="1" applyAlignment="1">
      <alignment horizontal="center" vertical="center"/>
    </xf>
    <xf numFmtId="3" fontId="9" fillId="2" borderId="2" xfId="2" applyNumberFormat="1" applyFont="1" applyFill="1" applyBorder="1" applyAlignment="1">
      <alignment horizontal="center" vertical="center" wrapText="1"/>
    </xf>
    <xf numFmtId="3" fontId="9" fillId="2" borderId="3" xfId="2" applyNumberFormat="1" applyFont="1" applyFill="1" applyBorder="1" applyAlignment="1">
      <alignment horizontal="center" vertical="center" wrapText="1"/>
    </xf>
    <xf numFmtId="3" fontId="9" fillId="2" borderId="4" xfId="2" applyNumberFormat="1" applyFont="1" applyFill="1" applyBorder="1" applyAlignment="1">
      <alignment horizontal="center" vertical="center" wrapText="1"/>
    </xf>
    <xf numFmtId="3" fontId="32" fillId="2" borderId="2" xfId="2" applyNumberFormat="1" applyFont="1" applyFill="1" applyBorder="1" applyAlignment="1">
      <alignment horizontal="center" vertical="center" wrapText="1"/>
    </xf>
    <xf numFmtId="3" fontId="32" fillId="2" borderId="3" xfId="2" applyNumberFormat="1" applyFont="1" applyFill="1" applyBorder="1" applyAlignment="1">
      <alignment horizontal="center" vertical="center" wrapText="1"/>
    </xf>
    <xf numFmtId="3" fontId="32" fillId="2" borderId="4" xfId="2" applyNumberFormat="1" applyFont="1" applyFill="1" applyBorder="1" applyAlignment="1">
      <alignment horizontal="center" vertical="center" wrapText="1"/>
    </xf>
    <xf numFmtId="3" fontId="32" fillId="2" borderId="7" xfId="2" applyNumberFormat="1" applyFont="1" applyFill="1" applyBorder="1" applyAlignment="1">
      <alignment horizontal="center" vertical="center"/>
    </xf>
    <xf numFmtId="3" fontId="32" fillId="2" borderId="8" xfId="2" applyNumberFormat="1" applyFont="1" applyFill="1" applyBorder="1" applyAlignment="1">
      <alignment horizontal="center" vertical="center"/>
    </xf>
    <xf numFmtId="3" fontId="32" fillId="2" borderId="5" xfId="2" applyNumberFormat="1" applyFont="1" applyFill="1" applyBorder="1" applyAlignment="1">
      <alignment horizontal="center" vertical="center"/>
    </xf>
    <xf numFmtId="3" fontId="32" fillId="2" borderId="7" xfId="2" applyNumberFormat="1" applyFont="1" applyFill="1" applyBorder="1" applyAlignment="1">
      <alignment horizontal="center" vertical="center" wrapText="1"/>
    </xf>
    <xf numFmtId="3" fontId="32" fillId="2" borderId="8" xfId="2" applyNumberFormat="1" applyFont="1" applyFill="1" applyBorder="1" applyAlignment="1">
      <alignment horizontal="center" vertical="center" wrapText="1"/>
    </xf>
    <xf numFmtId="3" fontId="32" fillId="2" borderId="5" xfId="2" applyNumberFormat="1" applyFont="1" applyFill="1" applyBorder="1" applyAlignment="1">
      <alignment horizontal="center" vertical="center" wrapText="1"/>
    </xf>
  </cellXfs>
  <cellStyles count="36">
    <cellStyle name="Bình thường 2" xfId="2"/>
    <cellStyle name="Bình thường 2 2" xfId="4"/>
    <cellStyle name="Bình thường 3 2" xfId="14"/>
    <cellStyle name="Bình thường 3 2 2" xfId="3"/>
    <cellStyle name="Bình thường 5" xfId="21"/>
    <cellStyle name="Comma" xfId="1" builtinId="3"/>
    <cellStyle name="Comma 10" xfId="30"/>
    <cellStyle name="Comma 2" xfId="6"/>
    <cellStyle name="Comma 2 2" xfId="22"/>
    <cellStyle name="Comma 3" xfId="27"/>
    <cellStyle name="Comma 5 2" xfId="18"/>
    <cellStyle name="Comma 7 2" xfId="12"/>
    <cellStyle name="Comma 7 2 2" xfId="31"/>
    <cellStyle name="Comma 7 4" xfId="33"/>
    <cellStyle name="Dấu phẩy 2" xfId="8"/>
    <cellStyle name="Dấu phẩy 4" xfId="26"/>
    <cellStyle name="Normal" xfId="0" builtinId="0"/>
    <cellStyle name="Normal 11" xfId="19"/>
    <cellStyle name="Normal 11 11" xfId="24"/>
    <cellStyle name="Normal 11 4" xfId="34"/>
    <cellStyle name="Normal 12" xfId="28"/>
    <cellStyle name="Normal 13" xfId="10"/>
    <cellStyle name="Normal 16" xfId="23"/>
    <cellStyle name="Normal 2" xfId="32"/>
    <cellStyle name="Normal 2 2" xfId="29"/>
    <cellStyle name="Normal 2 21" xfId="20"/>
    <cellStyle name="Normal 2 3" xfId="35"/>
    <cellStyle name="Normal 2 3 3" xfId="15"/>
    <cellStyle name="Normal 26" xfId="25"/>
    <cellStyle name="Normal 33" xfId="7"/>
    <cellStyle name="Normal 37" xfId="9"/>
    <cellStyle name="Normal 46" xfId="11"/>
    <cellStyle name="Normal 5" xfId="5"/>
    <cellStyle name="Normal 6" xfId="17"/>
    <cellStyle name="Normal 7" xfId="16"/>
    <cellStyle name="Normal_Bieu mau (CV )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379095</xdr:colOff>
      <xdr:row>1</xdr:row>
      <xdr:rowOff>232410</xdr:rowOff>
    </xdr:from>
    <xdr:to>
      <xdr:col>1</xdr:col>
      <xdr:colOff>1485852</xdr:colOff>
      <xdr:row>1</xdr:row>
      <xdr:rowOff>233998</xdr:rowOff>
    </xdr:to>
    <xdr:cxnSp macro="">
      <xdr:nvCxnSpPr>
        <xdr:cNvPr id="2" name="Straight Connector 1">
          <a:extLst>
            <a:ext uri="{FF2B5EF4-FFF2-40B4-BE49-F238E27FC236}">
              <a16:creationId xmlns="" xmlns:a16="http://schemas.microsoft.com/office/drawing/2014/main" id="{B03B4D8C-C9E3-4D67-AB2C-A988C2566DB5}"/>
            </a:ext>
          </a:extLst>
        </xdr:cNvPr>
        <xdr:cNvCxnSpPr/>
      </xdr:nvCxnSpPr>
      <xdr:spPr>
        <a:xfrm>
          <a:off x="674370" y="470535"/>
          <a:ext cx="1106757"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445770</xdr:colOff>
      <xdr:row>2</xdr:row>
      <xdr:rowOff>9525</xdr:rowOff>
    </xdr:from>
    <xdr:to>
      <xdr:col>36</xdr:col>
      <xdr:colOff>28582</xdr:colOff>
      <xdr:row>2</xdr:row>
      <xdr:rowOff>11113</xdr:rowOff>
    </xdr:to>
    <xdr:cxnSp macro="">
      <xdr:nvCxnSpPr>
        <xdr:cNvPr id="3" name="Straight Connector 2">
          <a:extLst>
            <a:ext uri="{FF2B5EF4-FFF2-40B4-BE49-F238E27FC236}">
              <a16:creationId xmlns="" xmlns:a16="http://schemas.microsoft.com/office/drawing/2014/main" id="{6267B39A-6FD3-4E5B-91AA-6A96ACD94DB0}"/>
            </a:ext>
          </a:extLst>
        </xdr:cNvPr>
        <xdr:cNvCxnSpPr/>
      </xdr:nvCxnSpPr>
      <xdr:spPr>
        <a:xfrm>
          <a:off x="6751320" y="485775"/>
          <a:ext cx="21328387"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192;I%20-%202017/XDCB/GI&#7842;I%20NG&#194;N%20V&#7888;N%20XDCB/N&#258;M%202024/GI&#7842;I%20NG&#194;N%20%20V&#7888;N%20%20NS%20Th&#7883;%20X&#22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guồn TX - 2024"/>
      <sheetName val="Nguồn TX - 2023"/>
      <sheetName val="Nguồn TX - 2022"/>
      <sheetName val="Nguồn TX - 2021"/>
      <sheetName val="C N  2020 - 2021"/>
      <sheetName val="Nguồn TX - 2020"/>
      <sheetName val="Nguồn TX - 2019"/>
      <sheetName val="NHật ký Công trình"/>
      <sheetName val="BÁO CÁO PT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7">
          <cell r="K27">
            <v>600</v>
          </cell>
          <cell r="L27">
            <v>700</v>
          </cell>
          <cell r="M27">
            <v>280</v>
          </cell>
        </row>
        <row r="28">
          <cell r="L28">
            <v>600</v>
          </cell>
          <cell r="M28">
            <v>280</v>
          </cell>
        </row>
        <row r="29">
          <cell r="L29">
            <v>700</v>
          </cell>
          <cell r="M29">
            <v>560</v>
          </cell>
          <cell r="N29">
            <v>886</v>
          </cell>
        </row>
        <row r="30">
          <cell r="L30">
            <v>400</v>
          </cell>
          <cell r="M30">
            <v>160</v>
          </cell>
          <cell r="N30">
            <v>126</v>
          </cell>
        </row>
        <row r="34">
          <cell r="M34">
            <v>600</v>
          </cell>
        </row>
        <row r="35">
          <cell r="M35">
            <v>400</v>
          </cell>
          <cell r="N35">
            <v>500</v>
          </cell>
        </row>
      </sheetData>
      <sheetData sheetId="8" refreshError="1"/>
    </sheetDataSet>
  </externalBook>
</externalLink>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372"/>
  <sheetViews>
    <sheetView tabSelected="1" topLeftCell="A4" zoomScaleNormal="100" workbookViewId="0">
      <pane xSplit="10" ySplit="7" topLeftCell="R11" activePane="bottomRight" state="frozen"/>
      <selection activeCell="A4" sqref="A4"/>
      <selection pane="topRight" activeCell="K4" sqref="K4"/>
      <selection pane="bottomLeft" activeCell="A11" sqref="A11"/>
      <selection pane="bottomRight" activeCell="C6" sqref="C6:C9"/>
    </sheetView>
  </sheetViews>
  <sheetFormatPr defaultColWidth="23" defaultRowHeight="15.6" x14ac:dyDescent="0.3"/>
  <cols>
    <col min="1" max="1" width="3.8984375" style="6" customWidth="1"/>
    <col min="2" max="2" width="23" style="7" customWidth="1"/>
    <col min="3" max="3" width="6.8984375" style="8" customWidth="1"/>
    <col min="4" max="4" width="6.3984375" style="8" customWidth="1"/>
    <col min="5" max="5" width="6" style="8" customWidth="1"/>
    <col min="6" max="6" width="9" style="8" customWidth="1"/>
    <col min="7" max="7" width="9.3984375" style="9" customWidth="1"/>
    <col min="8" max="8" width="9.5" style="9" customWidth="1"/>
    <col min="9" max="9" width="8.69921875" style="9" customWidth="1"/>
    <col min="10" max="10" width="8.3984375" style="9" customWidth="1"/>
    <col min="11" max="27" width="10.5" style="9" customWidth="1"/>
    <col min="28" max="28" width="12.19921875" style="9" customWidth="1"/>
    <col min="29" max="29" width="10.5" style="9" customWidth="1"/>
    <col min="30" max="30" width="13.8984375" style="9" customWidth="1"/>
    <col min="31" max="31" width="13.19921875" style="9" customWidth="1"/>
    <col min="32" max="33" width="10.5" style="167" hidden="1" customWidth="1"/>
    <col min="34" max="34" width="9.8984375" style="167" hidden="1" customWidth="1"/>
    <col min="35" max="35" width="8.69921875" style="167" hidden="1" customWidth="1"/>
    <col min="36" max="36" width="9" style="167" hidden="1" customWidth="1"/>
    <col min="37" max="37" width="8.5" style="167" hidden="1" customWidth="1"/>
    <col min="38" max="38" width="11.69921875" style="167" hidden="1" customWidth="1"/>
    <col min="39" max="39" width="8.09765625" style="167" hidden="1" customWidth="1"/>
    <col min="40" max="40" width="10.8984375" style="167" hidden="1" customWidth="1"/>
    <col min="41" max="41" width="9.19921875" style="167" hidden="1" customWidth="1"/>
    <col min="42" max="43" width="9" style="168" hidden="1" customWidth="1"/>
    <col min="44" max="51" width="9" style="10" customWidth="1"/>
    <col min="52" max="239" width="9" style="5" customWidth="1"/>
    <col min="240" max="240" width="2.8984375" style="5" bestFit="1" customWidth="1"/>
    <col min="241" max="241" width="23" style="5"/>
    <col min="242" max="242" width="3.8984375" style="5" customWidth="1"/>
    <col min="243" max="243" width="23" style="5"/>
    <col min="244" max="244" width="6.8984375" style="5" customWidth="1"/>
    <col min="245" max="245" width="6.3984375" style="5" customWidth="1"/>
    <col min="246" max="246" width="6" style="5" customWidth="1"/>
    <col min="247" max="247" width="9" style="5" customWidth="1"/>
    <col min="248" max="248" width="9.3984375" style="5" customWidth="1"/>
    <col min="249" max="249" width="9.5" style="5" customWidth="1"/>
    <col min="250" max="250" width="8.69921875" style="5" customWidth="1"/>
    <col min="251" max="251" width="8.3984375" style="5" customWidth="1"/>
    <col min="252" max="252" width="10.5" style="5" customWidth="1"/>
    <col min="253" max="253" width="9.8984375" style="5" customWidth="1"/>
    <col min="254" max="254" width="8.69921875" style="5" customWidth="1"/>
    <col min="255" max="255" width="9" style="5" customWidth="1"/>
    <col min="256" max="256" width="8.5" style="5" customWidth="1"/>
    <col min="257" max="257" width="9" style="5" customWidth="1"/>
    <col min="258" max="259" width="8.09765625" style="5" customWidth="1"/>
    <col min="260" max="260" width="9.19921875" style="5" customWidth="1"/>
    <col min="261" max="261" width="7.69921875" style="5" customWidth="1"/>
    <col min="262" max="263" width="6.8984375" style="5" customWidth="1"/>
    <col min="264" max="264" width="11" style="5" customWidth="1"/>
    <col min="265" max="266" width="6.8984375" style="5" customWidth="1"/>
    <col min="267" max="267" width="15.5" style="5" customWidth="1"/>
    <col min="268" max="271" width="6.8984375" style="5" customWidth="1"/>
    <col min="272" max="495" width="9" style="5" customWidth="1"/>
    <col min="496" max="496" width="2.8984375" style="5" bestFit="1" customWidth="1"/>
    <col min="497" max="497" width="23" style="5"/>
    <col min="498" max="498" width="3.8984375" style="5" customWidth="1"/>
    <col min="499" max="499" width="23" style="5"/>
    <col min="500" max="500" width="6.8984375" style="5" customWidth="1"/>
    <col min="501" max="501" width="6.3984375" style="5" customWidth="1"/>
    <col min="502" max="502" width="6" style="5" customWidth="1"/>
    <col min="503" max="503" width="9" style="5" customWidth="1"/>
    <col min="504" max="504" width="9.3984375" style="5" customWidth="1"/>
    <col min="505" max="505" width="9.5" style="5" customWidth="1"/>
    <col min="506" max="506" width="8.69921875" style="5" customWidth="1"/>
    <col min="507" max="507" width="8.3984375" style="5" customWidth="1"/>
    <col min="508" max="508" width="10.5" style="5" customWidth="1"/>
    <col min="509" max="509" width="9.8984375" style="5" customWidth="1"/>
    <col min="510" max="510" width="8.69921875" style="5" customWidth="1"/>
    <col min="511" max="511" width="9" style="5" customWidth="1"/>
    <col min="512" max="512" width="8.5" style="5" customWidth="1"/>
    <col min="513" max="513" width="9" style="5" customWidth="1"/>
    <col min="514" max="515" width="8.09765625" style="5" customWidth="1"/>
    <col min="516" max="516" width="9.19921875" style="5" customWidth="1"/>
    <col min="517" max="517" width="7.69921875" style="5" customWidth="1"/>
    <col min="518" max="519" width="6.8984375" style="5" customWidth="1"/>
    <col min="520" max="520" width="11" style="5" customWidth="1"/>
    <col min="521" max="522" width="6.8984375" style="5" customWidth="1"/>
    <col min="523" max="523" width="15.5" style="5" customWidth="1"/>
    <col min="524" max="527" width="6.8984375" style="5" customWidth="1"/>
    <col min="528" max="751" width="9" style="5" customWidth="1"/>
    <col min="752" max="752" width="2.8984375" style="5" bestFit="1" customWidth="1"/>
    <col min="753" max="753" width="23" style="5"/>
    <col min="754" max="754" width="3.8984375" style="5" customWidth="1"/>
    <col min="755" max="755" width="23" style="5"/>
    <col min="756" max="756" width="6.8984375" style="5" customWidth="1"/>
    <col min="757" max="757" width="6.3984375" style="5" customWidth="1"/>
    <col min="758" max="758" width="6" style="5" customWidth="1"/>
    <col min="759" max="759" width="9" style="5" customWidth="1"/>
    <col min="760" max="760" width="9.3984375" style="5" customWidth="1"/>
    <col min="761" max="761" width="9.5" style="5" customWidth="1"/>
    <col min="762" max="762" width="8.69921875" style="5" customWidth="1"/>
    <col min="763" max="763" width="8.3984375" style="5" customWidth="1"/>
    <col min="764" max="764" width="10.5" style="5" customWidth="1"/>
    <col min="765" max="765" width="9.8984375" style="5" customWidth="1"/>
    <col min="766" max="766" width="8.69921875" style="5" customWidth="1"/>
    <col min="767" max="767" width="9" style="5" customWidth="1"/>
    <col min="768" max="768" width="8.5" style="5" customWidth="1"/>
    <col min="769" max="769" width="9" style="5" customWidth="1"/>
    <col min="770" max="771" width="8.09765625" style="5" customWidth="1"/>
    <col min="772" max="772" width="9.19921875" style="5" customWidth="1"/>
    <col min="773" max="773" width="7.69921875" style="5" customWidth="1"/>
    <col min="774" max="775" width="6.8984375" style="5" customWidth="1"/>
    <col min="776" max="776" width="11" style="5" customWidth="1"/>
    <col min="777" max="778" width="6.8984375" style="5" customWidth="1"/>
    <col min="779" max="779" width="15.5" style="5" customWidth="1"/>
    <col min="780" max="783" width="6.8984375" style="5" customWidth="1"/>
    <col min="784" max="1007" width="9" style="5" customWidth="1"/>
    <col min="1008" max="1008" width="2.8984375" style="5" bestFit="1" customWidth="1"/>
    <col min="1009" max="1009" width="23" style="5"/>
    <col min="1010" max="1010" width="3.8984375" style="5" customWidth="1"/>
    <col min="1011" max="1011" width="23" style="5"/>
    <col min="1012" max="1012" width="6.8984375" style="5" customWidth="1"/>
    <col min="1013" max="1013" width="6.3984375" style="5" customWidth="1"/>
    <col min="1014" max="1014" width="6" style="5" customWidth="1"/>
    <col min="1015" max="1015" width="9" style="5" customWidth="1"/>
    <col min="1016" max="1016" width="9.3984375" style="5" customWidth="1"/>
    <col min="1017" max="1017" width="9.5" style="5" customWidth="1"/>
    <col min="1018" max="1018" width="8.69921875" style="5" customWidth="1"/>
    <col min="1019" max="1019" width="8.3984375" style="5" customWidth="1"/>
    <col min="1020" max="1020" width="10.5" style="5" customWidth="1"/>
    <col min="1021" max="1021" width="9.8984375" style="5" customWidth="1"/>
    <col min="1022" max="1022" width="8.69921875" style="5" customWidth="1"/>
    <col min="1023" max="1023" width="9" style="5" customWidth="1"/>
    <col min="1024" max="1024" width="8.5" style="5" customWidth="1"/>
    <col min="1025" max="1025" width="9" style="5" customWidth="1"/>
    <col min="1026" max="1027" width="8.09765625" style="5" customWidth="1"/>
    <col min="1028" max="1028" width="9.19921875" style="5" customWidth="1"/>
    <col min="1029" max="1029" width="7.69921875" style="5" customWidth="1"/>
    <col min="1030" max="1031" width="6.8984375" style="5" customWidth="1"/>
    <col min="1032" max="1032" width="11" style="5" customWidth="1"/>
    <col min="1033" max="1034" width="6.8984375" style="5" customWidth="1"/>
    <col min="1035" max="1035" width="15.5" style="5" customWidth="1"/>
    <col min="1036" max="1039" width="6.8984375" style="5" customWidth="1"/>
    <col min="1040" max="1263" width="9" style="5" customWidth="1"/>
    <col min="1264" max="1264" width="2.8984375" style="5" bestFit="1" customWidth="1"/>
    <col min="1265" max="1265" width="23" style="5"/>
    <col min="1266" max="1266" width="3.8984375" style="5" customWidth="1"/>
    <col min="1267" max="1267" width="23" style="5"/>
    <col min="1268" max="1268" width="6.8984375" style="5" customWidth="1"/>
    <col min="1269" max="1269" width="6.3984375" style="5" customWidth="1"/>
    <col min="1270" max="1270" width="6" style="5" customWidth="1"/>
    <col min="1271" max="1271" width="9" style="5" customWidth="1"/>
    <col min="1272" max="1272" width="9.3984375" style="5" customWidth="1"/>
    <col min="1273" max="1273" width="9.5" style="5" customWidth="1"/>
    <col min="1274" max="1274" width="8.69921875" style="5" customWidth="1"/>
    <col min="1275" max="1275" width="8.3984375" style="5" customWidth="1"/>
    <col min="1276" max="1276" width="10.5" style="5" customWidth="1"/>
    <col min="1277" max="1277" width="9.8984375" style="5" customWidth="1"/>
    <col min="1278" max="1278" width="8.69921875" style="5" customWidth="1"/>
    <col min="1279" max="1279" width="9" style="5" customWidth="1"/>
    <col min="1280" max="1280" width="8.5" style="5" customWidth="1"/>
    <col min="1281" max="1281" width="9" style="5" customWidth="1"/>
    <col min="1282" max="1283" width="8.09765625" style="5" customWidth="1"/>
    <col min="1284" max="1284" width="9.19921875" style="5" customWidth="1"/>
    <col min="1285" max="1285" width="7.69921875" style="5" customWidth="1"/>
    <col min="1286" max="1287" width="6.8984375" style="5" customWidth="1"/>
    <col min="1288" max="1288" width="11" style="5" customWidth="1"/>
    <col min="1289" max="1290" width="6.8984375" style="5" customWidth="1"/>
    <col min="1291" max="1291" width="15.5" style="5" customWidth="1"/>
    <col min="1292" max="1295" width="6.8984375" style="5" customWidth="1"/>
    <col min="1296" max="1519" width="9" style="5" customWidth="1"/>
    <col min="1520" max="1520" width="2.8984375" style="5" bestFit="1" customWidth="1"/>
    <col min="1521" max="1521" width="23" style="5"/>
    <col min="1522" max="1522" width="3.8984375" style="5" customWidth="1"/>
    <col min="1523" max="1523" width="23" style="5"/>
    <col min="1524" max="1524" width="6.8984375" style="5" customWidth="1"/>
    <col min="1525" max="1525" width="6.3984375" style="5" customWidth="1"/>
    <col min="1526" max="1526" width="6" style="5" customWidth="1"/>
    <col min="1527" max="1527" width="9" style="5" customWidth="1"/>
    <col min="1528" max="1528" width="9.3984375" style="5" customWidth="1"/>
    <col min="1529" max="1529" width="9.5" style="5" customWidth="1"/>
    <col min="1530" max="1530" width="8.69921875" style="5" customWidth="1"/>
    <col min="1531" max="1531" width="8.3984375" style="5" customWidth="1"/>
    <col min="1532" max="1532" width="10.5" style="5" customWidth="1"/>
    <col min="1533" max="1533" width="9.8984375" style="5" customWidth="1"/>
    <col min="1534" max="1534" width="8.69921875" style="5" customWidth="1"/>
    <col min="1535" max="1535" width="9" style="5" customWidth="1"/>
    <col min="1536" max="1536" width="8.5" style="5" customWidth="1"/>
    <col min="1537" max="1537" width="9" style="5" customWidth="1"/>
    <col min="1538" max="1539" width="8.09765625" style="5" customWidth="1"/>
    <col min="1540" max="1540" width="9.19921875" style="5" customWidth="1"/>
    <col min="1541" max="1541" width="7.69921875" style="5" customWidth="1"/>
    <col min="1542" max="1543" width="6.8984375" style="5" customWidth="1"/>
    <col min="1544" max="1544" width="11" style="5" customWidth="1"/>
    <col min="1545" max="1546" width="6.8984375" style="5" customWidth="1"/>
    <col min="1547" max="1547" width="15.5" style="5" customWidth="1"/>
    <col min="1548" max="1551" width="6.8984375" style="5" customWidth="1"/>
    <col min="1552" max="1775" width="9" style="5" customWidth="1"/>
    <col min="1776" max="1776" width="2.8984375" style="5" bestFit="1" customWidth="1"/>
    <col min="1777" max="1777" width="23" style="5"/>
    <col min="1778" max="1778" width="3.8984375" style="5" customWidth="1"/>
    <col min="1779" max="1779" width="23" style="5"/>
    <col min="1780" max="1780" width="6.8984375" style="5" customWidth="1"/>
    <col min="1781" max="1781" width="6.3984375" style="5" customWidth="1"/>
    <col min="1782" max="1782" width="6" style="5" customWidth="1"/>
    <col min="1783" max="1783" width="9" style="5" customWidth="1"/>
    <col min="1784" max="1784" width="9.3984375" style="5" customWidth="1"/>
    <col min="1785" max="1785" width="9.5" style="5" customWidth="1"/>
    <col min="1786" max="1786" width="8.69921875" style="5" customWidth="1"/>
    <col min="1787" max="1787" width="8.3984375" style="5" customWidth="1"/>
    <col min="1788" max="1788" width="10.5" style="5" customWidth="1"/>
    <col min="1789" max="1789" width="9.8984375" style="5" customWidth="1"/>
    <col min="1790" max="1790" width="8.69921875" style="5" customWidth="1"/>
    <col min="1791" max="1791" width="9" style="5" customWidth="1"/>
    <col min="1792" max="1792" width="8.5" style="5" customWidth="1"/>
    <col min="1793" max="1793" width="9" style="5" customWidth="1"/>
    <col min="1794" max="1795" width="8.09765625" style="5" customWidth="1"/>
    <col min="1796" max="1796" width="9.19921875" style="5" customWidth="1"/>
    <col min="1797" max="1797" width="7.69921875" style="5" customWidth="1"/>
    <col min="1798" max="1799" width="6.8984375" style="5" customWidth="1"/>
    <col min="1800" max="1800" width="11" style="5" customWidth="1"/>
    <col min="1801" max="1802" width="6.8984375" style="5" customWidth="1"/>
    <col min="1803" max="1803" width="15.5" style="5" customWidth="1"/>
    <col min="1804" max="1807" width="6.8984375" style="5" customWidth="1"/>
    <col min="1808" max="2031" width="9" style="5" customWidth="1"/>
    <col min="2032" max="2032" width="2.8984375" style="5" bestFit="1" customWidth="1"/>
    <col min="2033" max="2033" width="23" style="5"/>
    <col min="2034" max="2034" width="3.8984375" style="5" customWidth="1"/>
    <col min="2035" max="2035" width="23" style="5"/>
    <col min="2036" max="2036" width="6.8984375" style="5" customWidth="1"/>
    <col min="2037" max="2037" width="6.3984375" style="5" customWidth="1"/>
    <col min="2038" max="2038" width="6" style="5" customWidth="1"/>
    <col min="2039" max="2039" width="9" style="5" customWidth="1"/>
    <col min="2040" max="2040" width="9.3984375" style="5" customWidth="1"/>
    <col min="2041" max="2041" width="9.5" style="5" customWidth="1"/>
    <col min="2042" max="2042" width="8.69921875" style="5" customWidth="1"/>
    <col min="2043" max="2043" width="8.3984375" style="5" customWidth="1"/>
    <col min="2044" max="2044" width="10.5" style="5" customWidth="1"/>
    <col min="2045" max="2045" width="9.8984375" style="5" customWidth="1"/>
    <col min="2046" max="2046" width="8.69921875" style="5" customWidth="1"/>
    <col min="2047" max="2047" width="9" style="5" customWidth="1"/>
    <col min="2048" max="2048" width="8.5" style="5" customWidth="1"/>
    <col min="2049" max="2049" width="9" style="5" customWidth="1"/>
    <col min="2050" max="2051" width="8.09765625" style="5" customWidth="1"/>
    <col min="2052" max="2052" width="9.19921875" style="5" customWidth="1"/>
    <col min="2053" max="2053" width="7.69921875" style="5" customWidth="1"/>
    <col min="2054" max="2055" width="6.8984375" style="5" customWidth="1"/>
    <col min="2056" max="2056" width="11" style="5" customWidth="1"/>
    <col min="2057" max="2058" width="6.8984375" style="5" customWidth="1"/>
    <col min="2059" max="2059" width="15.5" style="5" customWidth="1"/>
    <col min="2060" max="2063" width="6.8984375" style="5" customWidth="1"/>
    <col min="2064" max="2287" width="9" style="5" customWidth="1"/>
    <col min="2288" max="2288" width="2.8984375" style="5" bestFit="1" customWidth="1"/>
    <col min="2289" max="2289" width="23" style="5"/>
    <col min="2290" max="2290" width="3.8984375" style="5" customWidth="1"/>
    <col min="2291" max="2291" width="23" style="5"/>
    <col min="2292" max="2292" width="6.8984375" style="5" customWidth="1"/>
    <col min="2293" max="2293" width="6.3984375" style="5" customWidth="1"/>
    <col min="2294" max="2294" width="6" style="5" customWidth="1"/>
    <col min="2295" max="2295" width="9" style="5" customWidth="1"/>
    <col min="2296" max="2296" width="9.3984375" style="5" customWidth="1"/>
    <col min="2297" max="2297" width="9.5" style="5" customWidth="1"/>
    <col min="2298" max="2298" width="8.69921875" style="5" customWidth="1"/>
    <col min="2299" max="2299" width="8.3984375" style="5" customWidth="1"/>
    <col min="2300" max="2300" width="10.5" style="5" customWidth="1"/>
    <col min="2301" max="2301" width="9.8984375" style="5" customWidth="1"/>
    <col min="2302" max="2302" width="8.69921875" style="5" customWidth="1"/>
    <col min="2303" max="2303" width="9" style="5" customWidth="1"/>
    <col min="2304" max="2304" width="8.5" style="5" customWidth="1"/>
    <col min="2305" max="2305" width="9" style="5" customWidth="1"/>
    <col min="2306" max="2307" width="8.09765625" style="5" customWidth="1"/>
    <col min="2308" max="2308" width="9.19921875" style="5" customWidth="1"/>
    <col min="2309" max="2309" width="7.69921875" style="5" customWidth="1"/>
    <col min="2310" max="2311" width="6.8984375" style="5" customWidth="1"/>
    <col min="2312" max="2312" width="11" style="5" customWidth="1"/>
    <col min="2313" max="2314" width="6.8984375" style="5" customWidth="1"/>
    <col min="2315" max="2315" width="15.5" style="5" customWidth="1"/>
    <col min="2316" max="2319" width="6.8984375" style="5" customWidth="1"/>
    <col min="2320" max="2543" width="9" style="5" customWidth="1"/>
    <col min="2544" max="2544" width="2.8984375" style="5" bestFit="1" customWidth="1"/>
    <col min="2545" max="2545" width="23" style="5"/>
    <col min="2546" max="2546" width="3.8984375" style="5" customWidth="1"/>
    <col min="2547" max="2547" width="23" style="5"/>
    <col min="2548" max="2548" width="6.8984375" style="5" customWidth="1"/>
    <col min="2549" max="2549" width="6.3984375" style="5" customWidth="1"/>
    <col min="2550" max="2550" width="6" style="5" customWidth="1"/>
    <col min="2551" max="2551" width="9" style="5" customWidth="1"/>
    <col min="2552" max="2552" width="9.3984375" style="5" customWidth="1"/>
    <col min="2553" max="2553" width="9.5" style="5" customWidth="1"/>
    <col min="2554" max="2554" width="8.69921875" style="5" customWidth="1"/>
    <col min="2555" max="2555" width="8.3984375" style="5" customWidth="1"/>
    <col min="2556" max="2556" width="10.5" style="5" customWidth="1"/>
    <col min="2557" max="2557" width="9.8984375" style="5" customWidth="1"/>
    <col min="2558" max="2558" width="8.69921875" style="5" customWidth="1"/>
    <col min="2559" max="2559" width="9" style="5" customWidth="1"/>
    <col min="2560" max="2560" width="8.5" style="5" customWidth="1"/>
    <col min="2561" max="2561" width="9" style="5" customWidth="1"/>
    <col min="2562" max="2563" width="8.09765625" style="5" customWidth="1"/>
    <col min="2564" max="2564" width="9.19921875" style="5" customWidth="1"/>
    <col min="2565" max="2565" width="7.69921875" style="5" customWidth="1"/>
    <col min="2566" max="2567" width="6.8984375" style="5" customWidth="1"/>
    <col min="2568" max="2568" width="11" style="5" customWidth="1"/>
    <col min="2569" max="2570" width="6.8984375" style="5" customWidth="1"/>
    <col min="2571" max="2571" width="15.5" style="5" customWidth="1"/>
    <col min="2572" max="2575" width="6.8984375" style="5" customWidth="1"/>
    <col min="2576" max="2799" width="9" style="5" customWidth="1"/>
    <col min="2800" max="2800" width="2.8984375" style="5" bestFit="1" customWidth="1"/>
    <col min="2801" max="2801" width="23" style="5"/>
    <col min="2802" max="2802" width="3.8984375" style="5" customWidth="1"/>
    <col min="2803" max="2803" width="23" style="5"/>
    <col min="2804" max="2804" width="6.8984375" style="5" customWidth="1"/>
    <col min="2805" max="2805" width="6.3984375" style="5" customWidth="1"/>
    <col min="2806" max="2806" width="6" style="5" customWidth="1"/>
    <col min="2807" max="2807" width="9" style="5" customWidth="1"/>
    <col min="2808" max="2808" width="9.3984375" style="5" customWidth="1"/>
    <col min="2809" max="2809" width="9.5" style="5" customWidth="1"/>
    <col min="2810" max="2810" width="8.69921875" style="5" customWidth="1"/>
    <col min="2811" max="2811" width="8.3984375" style="5" customWidth="1"/>
    <col min="2812" max="2812" width="10.5" style="5" customWidth="1"/>
    <col min="2813" max="2813" width="9.8984375" style="5" customWidth="1"/>
    <col min="2814" max="2814" width="8.69921875" style="5" customWidth="1"/>
    <col min="2815" max="2815" width="9" style="5" customWidth="1"/>
    <col min="2816" max="2816" width="8.5" style="5" customWidth="1"/>
    <col min="2817" max="2817" width="9" style="5" customWidth="1"/>
    <col min="2818" max="2819" width="8.09765625" style="5" customWidth="1"/>
    <col min="2820" max="2820" width="9.19921875" style="5" customWidth="1"/>
    <col min="2821" max="2821" width="7.69921875" style="5" customWidth="1"/>
    <col min="2822" max="2823" width="6.8984375" style="5" customWidth="1"/>
    <col min="2824" max="2824" width="11" style="5" customWidth="1"/>
    <col min="2825" max="2826" width="6.8984375" style="5" customWidth="1"/>
    <col min="2827" max="2827" width="15.5" style="5" customWidth="1"/>
    <col min="2828" max="2831" width="6.8984375" style="5" customWidth="1"/>
    <col min="2832" max="3055" width="9" style="5" customWidth="1"/>
    <col min="3056" max="3056" width="2.8984375" style="5" bestFit="1" customWidth="1"/>
    <col min="3057" max="3057" width="23" style="5"/>
    <col min="3058" max="3058" width="3.8984375" style="5" customWidth="1"/>
    <col min="3059" max="3059" width="23" style="5"/>
    <col min="3060" max="3060" width="6.8984375" style="5" customWidth="1"/>
    <col min="3061" max="3061" width="6.3984375" style="5" customWidth="1"/>
    <col min="3062" max="3062" width="6" style="5" customWidth="1"/>
    <col min="3063" max="3063" width="9" style="5" customWidth="1"/>
    <col min="3064" max="3064" width="9.3984375" style="5" customWidth="1"/>
    <col min="3065" max="3065" width="9.5" style="5" customWidth="1"/>
    <col min="3066" max="3066" width="8.69921875" style="5" customWidth="1"/>
    <col min="3067" max="3067" width="8.3984375" style="5" customWidth="1"/>
    <col min="3068" max="3068" width="10.5" style="5" customWidth="1"/>
    <col min="3069" max="3069" width="9.8984375" style="5" customWidth="1"/>
    <col min="3070" max="3070" width="8.69921875" style="5" customWidth="1"/>
    <col min="3071" max="3071" width="9" style="5" customWidth="1"/>
    <col min="3072" max="3072" width="8.5" style="5" customWidth="1"/>
    <col min="3073" max="3073" width="9" style="5" customWidth="1"/>
    <col min="3074" max="3075" width="8.09765625" style="5" customWidth="1"/>
    <col min="3076" max="3076" width="9.19921875" style="5" customWidth="1"/>
    <col min="3077" max="3077" width="7.69921875" style="5" customWidth="1"/>
    <col min="3078" max="3079" width="6.8984375" style="5" customWidth="1"/>
    <col min="3080" max="3080" width="11" style="5" customWidth="1"/>
    <col min="3081" max="3082" width="6.8984375" style="5" customWidth="1"/>
    <col min="3083" max="3083" width="15.5" style="5" customWidth="1"/>
    <col min="3084" max="3087" width="6.8984375" style="5" customWidth="1"/>
    <col min="3088" max="3311" width="9" style="5" customWidth="1"/>
    <col min="3312" max="3312" width="2.8984375" style="5" bestFit="1" customWidth="1"/>
    <col min="3313" max="3313" width="23" style="5"/>
    <col min="3314" max="3314" width="3.8984375" style="5" customWidth="1"/>
    <col min="3315" max="3315" width="23" style="5"/>
    <col min="3316" max="3316" width="6.8984375" style="5" customWidth="1"/>
    <col min="3317" max="3317" width="6.3984375" style="5" customWidth="1"/>
    <col min="3318" max="3318" width="6" style="5" customWidth="1"/>
    <col min="3319" max="3319" width="9" style="5" customWidth="1"/>
    <col min="3320" max="3320" width="9.3984375" style="5" customWidth="1"/>
    <col min="3321" max="3321" width="9.5" style="5" customWidth="1"/>
    <col min="3322" max="3322" width="8.69921875" style="5" customWidth="1"/>
    <col min="3323" max="3323" width="8.3984375" style="5" customWidth="1"/>
    <col min="3324" max="3324" width="10.5" style="5" customWidth="1"/>
    <col min="3325" max="3325" width="9.8984375" style="5" customWidth="1"/>
    <col min="3326" max="3326" width="8.69921875" style="5" customWidth="1"/>
    <col min="3327" max="3327" width="9" style="5" customWidth="1"/>
    <col min="3328" max="3328" width="8.5" style="5" customWidth="1"/>
    <col min="3329" max="3329" width="9" style="5" customWidth="1"/>
    <col min="3330" max="3331" width="8.09765625" style="5" customWidth="1"/>
    <col min="3332" max="3332" width="9.19921875" style="5" customWidth="1"/>
    <col min="3333" max="3333" width="7.69921875" style="5" customWidth="1"/>
    <col min="3334" max="3335" width="6.8984375" style="5" customWidth="1"/>
    <col min="3336" max="3336" width="11" style="5" customWidth="1"/>
    <col min="3337" max="3338" width="6.8984375" style="5" customWidth="1"/>
    <col min="3339" max="3339" width="15.5" style="5" customWidth="1"/>
    <col min="3340" max="3343" width="6.8984375" style="5" customWidth="1"/>
    <col min="3344" max="3567" width="9" style="5" customWidth="1"/>
    <col min="3568" max="3568" width="2.8984375" style="5" bestFit="1" customWidth="1"/>
    <col min="3569" max="3569" width="23" style="5"/>
    <col min="3570" max="3570" width="3.8984375" style="5" customWidth="1"/>
    <col min="3571" max="3571" width="23" style="5"/>
    <col min="3572" max="3572" width="6.8984375" style="5" customWidth="1"/>
    <col min="3573" max="3573" width="6.3984375" style="5" customWidth="1"/>
    <col min="3574" max="3574" width="6" style="5" customWidth="1"/>
    <col min="3575" max="3575" width="9" style="5" customWidth="1"/>
    <col min="3576" max="3576" width="9.3984375" style="5" customWidth="1"/>
    <col min="3577" max="3577" width="9.5" style="5" customWidth="1"/>
    <col min="3578" max="3578" width="8.69921875" style="5" customWidth="1"/>
    <col min="3579" max="3579" width="8.3984375" style="5" customWidth="1"/>
    <col min="3580" max="3580" width="10.5" style="5" customWidth="1"/>
    <col min="3581" max="3581" width="9.8984375" style="5" customWidth="1"/>
    <col min="3582" max="3582" width="8.69921875" style="5" customWidth="1"/>
    <col min="3583" max="3583" width="9" style="5" customWidth="1"/>
    <col min="3584" max="3584" width="8.5" style="5" customWidth="1"/>
    <col min="3585" max="3585" width="9" style="5" customWidth="1"/>
    <col min="3586" max="3587" width="8.09765625" style="5" customWidth="1"/>
    <col min="3588" max="3588" width="9.19921875" style="5" customWidth="1"/>
    <col min="3589" max="3589" width="7.69921875" style="5" customWidth="1"/>
    <col min="3590" max="3591" width="6.8984375" style="5" customWidth="1"/>
    <col min="3592" max="3592" width="11" style="5" customWidth="1"/>
    <col min="3593" max="3594" width="6.8984375" style="5" customWidth="1"/>
    <col min="3595" max="3595" width="15.5" style="5" customWidth="1"/>
    <col min="3596" max="3599" width="6.8984375" style="5" customWidth="1"/>
    <col min="3600" max="3823" width="9" style="5" customWidth="1"/>
    <col min="3824" max="3824" width="2.8984375" style="5" bestFit="1" customWidth="1"/>
    <col min="3825" max="3825" width="23" style="5"/>
    <col min="3826" max="3826" width="3.8984375" style="5" customWidth="1"/>
    <col min="3827" max="3827" width="23" style="5"/>
    <col min="3828" max="3828" width="6.8984375" style="5" customWidth="1"/>
    <col min="3829" max="3829" width="6.3984375" style="5" customWidth="1"/>
    <col min="3830" max="3830" width="6" style="5" customWidth="1"/>
    <col min="3831" max="3831" width="9" style="5" customWidth="1"/>
    <col min="3832" max="3832" width="9.3984375" style="5" customWidth="1"/>
    <col min="3833" max="3833" width="9.5" style="5" customWidth="1"/>
    <col min="3834" max="3834" width="8.69921875" style="5" customWidth="1"/>
    <col min="3835" max="3835" width="8.3984375" style="5" customWidth="1"/>
    <col min="3836" max="3836" width="10.5" style="5" customWidth="1"/>
    <col min="3837" max="3837" width="9.8984375" style="5" customWidth="1"/>
    <col min="3838" max="3838" width="8.69921875" style="5" customWidth="1"/>
    <col min="3839" max="3839" width="9" style="5" customWidth="1"/>
    <col min="3840" max="3840" width="8.5" style="5" customWidth="1"/>
    <col min="3841" max="3841" width="9" style="5" customWidth="1"/>
    <col min="3842" max="3843" width="8.09765625" style="5" customWidth="1"/>
    <col min="3844" max="3844" width="9.19921875" style="5" customWidth="1"/>
    <col min="3845" max="3845" width="7.69921875" style="5" customWidth="1"/>
    <col min="3846" max="3847" width="6.8984375" style="5" customWidth="1"/>
    <col min="3848" max="3848" width="11" style="5" customWidth="1"/>
    <col min="3849" max="3850" width="6.8984375" style="5" customWidth="1"/>
    <col min="3851" max="3851" width="15.5" style="5" customWidth="1"/>
    <col min="3852" max="3855" width="6.8984375" style="5" customWidth="1"/>
    <col min="3856" max="4079" width="9" style="5" customWidth="1"/>
    <col min="4080" max="4080" width="2.8984375" style="5" bestFit="1" customWidth="1"/>
    <col min="4081" max="4081" width="23" style="5"/>
    <col min="4082" max="4082" width="3.8984375" style="5" customWidth="1"/>
    <col min="4083" max="4083" width="23" style="5"/>
    <col min="4084" max="4084" width="6.8984375" style="5" customWidth="1"/>
    <col min="4085" max="4085" width="6.3984375" style="5" customWidth="1"/>
    <col min="4086" max="4086" width="6" style="5" customWidth="1"/>
    <col min="4087" max="4087" width="9" style="5" customWidth="1"/>
    <col min="4088" max="4088" width="9.3984375" style="5" customWidth="1"/>
    <col min="4089" max="4089" width="9.5" style="5" customWidth="1"/>
    <col min="4090" max="4090" width="8.69921875" style="5" customWidth="1"/>
    <col min="4091" max="4091" width="8.3984375" style="5" customWidth="1"/>
    <col min="4092" max="4092" width="10.5" style="5" customWidth="1"/>
    <col min="4093" max="4093" width="9.8984375" style="5" customWidth="1"/>
    <col min="4094" max="4094" width="8.69921875" style="5" customWidth="1"/>
    <col min="4095" max="4095" width="9" style="5" customWidth="1"/>
    <col min="4096" max="4096" width="8.5" style="5" customWidth="1"/>
    <col min="4097" max="4097" width="9" style="5" customWidth="1"/>
    <col min="4098" max="4099" width="8.09765625" style="5" customWidth="1"/>
    <col min="4100" max="4100" width="9.19921875" style="5" customWidth="1"/>
    <col min="4101" max="4101" width="7.69921875" style="5" customWidth="1"/>
    <col min="4102" max="4103" width="6.8984375" style="5" customWidth="1"/>
    <col min="4104" max="4104" width="11" style="5" customWidth="1"/>
    <col min="4105" max="4106" width="6.8984375" style="5" customWidth="1"/>
    <col min="4107" max="4107" width="15.5" style="5" customWidth="1"/>
    <col min="4108" max="4111" width="6.8984375" style="5" customWidth="1"/>
    <col min="4112" max="4335" width="9" style="5" customWidth="1"/>
    <col min="4336" max="4336" width="2.8984375" style="5" bestFit="1" customWidth="1"/>
    <col min="4337" max="4337" width="23" style="5"/>
    <col min="4338" max="4338" width="3.8984375" style="5" customWidth="1"/>
    <col min="4339" max="4339" width="23" style="5"/>
    <col min="4340" max="4340" width="6.8984375" style="5" customWidth="1"/>
    <col min="4341" max="4341" width="6.3984375" style="5" customWidth="1"/>
    <col min="4342" max="4342" width="6" style="5" customWidth="1"/>
    <col min="4343" max="4343" width="9" style="5" customWidth="1"/>
    <col min="4344" max="4344" width="9.3984375" style="5" customWidth="1"/>
    <col min="4345" max="4345" width="9.5" style="5" customWidth="1"/>
    <col min="4346" max="4346" width="8.69921875" style="5" customWidth="1"/>
    <col min="4347" max="4347" width="8.3984375" style="5" customWidth="1"/>
    <col min="4348" max="4348" width="10.5" style="5" customWidth="1"/>
    <col min="4349" max="4349" width="9.8984375" style="5" customWidth="1"/>
    <col min="4350" max="4350" width="8.69921875" style="5" customWidth="1"/>
    <col min="4351" max="4351" width="9" style="5" customWidth="1"/>
    <col min="4352" max="4352" width="8.5" style="5" customWidth="1"/>
    <col min="4353" max="4353" width="9" style="5" customWidth="1"/>
    <col min="4354" max="4355" width="8.09765625" style="5" customWidth="1"/>
    <col min="4356" max="4356" width="9.19921875" style="5" customWidth="1"/>
    <col min="4357" max="4357" width="7.69921875" style="5" customWidth="1"/>
    <col min="4358" max="4359" width="6.8984375" style="5" customWidth="1"/>
    <col min="4360" max="4360" width="11" style="5" customWidth="1"/>
    <col min="4361" max="4362" width="6.8984375" style="5" customWidth="1"/>
    <col min="4363" max="4363" width="15.5" style="5" customWidth="1"/>
    <col min="4364" max="4367" width="6.8984375" style="5" customWidth="1"/>
    <col min="4368" max="4591" width="9" style="5" customWidth="1"/>
    <col min="4592" max="4592" width="2.8984375" style="5" bestFit="1" customWidth="1"/>
    <col min="4593" max="4593" width="23" style="5"/>
    <col min="4594" max="4594" width="3.8984375" style="5" customWidth="1"/>
    <col min="4595" max="4595" width="23" style="5"/>
    <col min="4596" max="4596" width="6.8984375" style="5" customWidth="1"/>
    <col min="4597" max="4597" width="6.3984375" style="5" customWidth="1"/>
    <col min="4598" max="4598" width="6" style="5" customWidth="1"/>
    <col min="4599" max="4599" width="9" style="5" customWidth="1"/>
    <col min="4600" max="4600" width="9.3984375" style="5" customWidth="1"/>
    <col min="4601" max="4601" width="9.5" style="5" customWidth="1"/>
    <col min="4602" max="4602" width="8.69921875" style="5" customWidth="1"/>
    <col min="4603" max="4603" width="8.3984375" style="5" customWidth="1"/>
    <col min="4604" max="4604" width="10.5" style="5" customWidth="1"/>
    <col min="4605" max="4605" width="9.8984375" style="5" customWidth="1"/>
    <col min="4606" max="4606" width="8.69921875" style="5" customWidth="1"/>
    <col min="4607" max="4607" width="9" style="5" customWidth="1"/>
    <col min="4608" max="4608" width="8.5" style="5" customWidth="1"/>
    <col min="4609" max="4609" width="9" style="5" customWidth="1"/>
    <col min="4610" max="4611" width="8.09765625" style="5" customWidth="1"/>
    <col min="4612" max="4612" width="9.19921875" style="5" customWidth="1"/>
    <col min="4613" max="4613" width="7.69921875" style="5" customWidth="1"/>
    <col min="4614" max="4615" width="6.8984375" style="5" customWidth="1"/>
    <col min="4616" max="4616" width="11" style="5" customWidth="1"/>
    <col min="4617" max="4618" width="6.8984375" style="5" customWidth="1"/>
    <col min="4619" max="4619" width="15.5" style="5" customWidth="1"/>
    <col min="4620" max="4623" width="6.8984375" style="5" customWidth="1"/>
    <col min="4624" max="4847" width="9" style="5" customWidth="1"/>
    <col min="4848" max="4848" width="2.8984375" style="5" bestFit="1" customWidth="1"/>
    <col min="4849" max="4849" width="23" style="5"/>
    <col min="4850" max="4850" width="3.8984375" style="5" customWidth="1"/>
    <col min="4851" max="4851" width="23" style="5"/>
    <col min="4852" max="4852" width="6.8984375" style="5" customWidth="1"/>
    <col min="4853" max="4853" width="6.3984375" style="5" customWidth="1"/>
    <col min="4854" max="4854" width="6" style="5" customWidth="1"/>
    <col min="4855" max="4855" width="9" style="5" customWidth="1"/>
    <col min="4856" max="4856" width="9.3984375" style="5" customWidth="1"/>
    <col min="4857" max="4857" width="9.5" style="5" customWidth="1"/>
    <col min="4858" max="4858" width="8.69921875" style="5" customWidth="1"/>
    <col min="4859" max="4859" width="8.3984375" style="5" customWidth="1"/>
    <col min="4860" max="4860" width="10.5" style="5" customWidth="1"/>
    <col min="4861" max="4861" width="9.8984375" style="5" customWidth="1"/>
    <col min="4862" max="4862" width="8.69921875" style="5" customWidth="1"/>
    <col min="4863" max="4863" width="9" style="5" customWidth="1"/>
    <col min="4864" max="4864" width="8.5" style="5" customWidth="1"/>
    <col min="4865" max="4865" width="9" style="5" customWidth="1"/>
    <col min="4866" max="4867" width="8.09765625" style="5" customWidth="1"/>
    <col min="4868" max="4868" width="9.19921875" style="5" customWidth="1"/>
    <col min="4869" max="4869" width="7.69921875" style="5" customWidth="1"/>
    <col min="4870" max="4871" width="6.8984375" style="5" customWidth="1"/>
    <col min="4872" max="4872" width="11" style="5" customWidth="1"/>
    <col min="4873" max="4874" width="6.8984375" style="5" customWidth="1"/>
    <col min="4875" max="4875" width="15.5" style="5" customWidth="1"/>
    <col min="4876" max="4879" width="6.8984375" style="5" customWidth="1"/>
    <col min="4880" max="5103" width="9" style="5" customWidth="1"/>
    <col min="5104" max="5104" width="2.8984375" style="5" bestFit="1" customWidth="1"/>
    <col min="5105" max="5105" width="23" style="5"/>
    <col min="5106" max="5106" width="3.8984375" style="5" customWidth="1"/>
    <col min="5107" max="5107" width="23" style="5"/>
    <col min="5108" max="5108" width="6.8984375" style="5" customWidth="1"/>
    <col min="5109" max="5109" width="6.3984375" style="5" customWidth="1"/>
    <col min="5110" max="5110" width="6" style="5" customWidth="1"/>
    <col min="5111" max="5111" width="9" style="5" customWidth="1"/>
    <col min="5112" max="5112" width="9.3984375" style="5" customWidth="1"/>
    <col min="5113" max="5113" width="9.5" style="5" customWidth="1"/>
    <col min="5114" max="5114" width="8.69921875" style="5" customWidth="1"/>
    <col min="5115" max="5115" width="8.3984375" style="5" customWidth="1"/>
    <col min="5116" max="5116" width="10.5" style="5" customWidth="1"/>
    <col min="5117" max="5117" width="9.8984375" style="5" customWidth="1"/>
    <col min="5118" max="5118" width="8.69921875" style="5" customWidth="1"/>
    <col min="5119" max="5119" width="9" style="5" customWidth="1"/>
    <col min="5120" max="5120" width="8.5" style="5" customWidth="1"/>
    <col min="5121" max="5121" width="9" style="5" customWidth="1"/>
    <col min="5122" max="5123" width="8.09765625" style="5" customWidth="1"/>
    <col min="5124" max="5124" width="9.19921875" style="5" customWidth="1"/>
    <col min="5125" max="5125" width="7.69921875" style="5" customWidth="1"/>
    <col min="5126" max="5127" width="6.8984375" style="5" customWidth="1"/>
    <col min="5128" max="5128" width="11" style="5" customWidth="1"/>
    <col min="5129" max="5130" width="6.8984375" style="5" customWidth="1"/>
    <col min="5131" max="5131" width="15.5" style="5" customWidth="1"/>
    <col min="5132" max="5135" width="6.8984375" style="5" customWidth="1"/>
    <col min="5136" max="5359" width="9" style="5" customWidth="1"/>
    <col min="5360" max="5360" width="2.8984375" style="5" bestFit="1" customWidth="1"/>
    <col min="5361" max="5361" width="23" style="5"/>
    <col min="5362" max="5362" width="3.8984375" style="5" customWidth="1"/>
    <col min="5363" max="5363" width="23" style="5"/>
    <col min="5364" max="5364" width="6.8984375" style="5" customWidth="1"/>
    <col min="5365" max="5365" width="6.3984375" style="5" customWidth="1"/>
    <col min="5366" max="5366" width="6" style="5" customWidth="1"/>
    <col min="5367" max="5367" width="9" style="5" customWidth="1"/>
    <col min="5368" max="5368" width="9.3984375" style="5" customWidth="1"/>
    <col min="5369" max="5369" width="9.5" style="5" customWidth="1"/>
    <col min="5370" max="5370" width="8.69921875" style="5" customWidth="1"/>
    <col min="5371" max="5371" width="8.3984375" style="5" customWidth="1"/>
    <col min="5372" max="5372" width="10.5" style="5" customWidth="1"/>
    <col min="5373" max="5373" width="9.8984375" style="5" customWidth="1"/>
    <col min="5374" max="5374" width="8.69921875" style="5" customWidth="1"/>
    <col min="5375" max="5375" width="9" style="5" customWidth="1"/>
    <col min="5376" max="5376" width="8.5" style="5" customWidth="1"/>
    <col min="5377" max="5377" width="9" style="5" customWidth="1"/>
    <col min="5378" max="5379" width="8.09765625" style="5" customWidth="1"/>
    <col min="5380" max="5380" width="9.19921875" style="5" customWidth="1"/>
    <col min="5381" max="5381" width="7.69921875" style="5" customWidth="1"/>
    <col min="5382" max="5383" width="6.8984375" style="5" customWidth="1"/>
    <col min="5384" max="5384" width="11" style="5" customWidth="1"/>
    <col min="5385" max="5386" width="6.8984375" style="5" customWidth="1"/>
    <col min="5387" max="5387" width="15.5" style="5" customWidth="1"/>
    <col min="5388" max="5391" width="6.8984375" style="5" customWidth="1"/>
    <col min="5392" max="5615" width="9" style="5" customWidth="1"/>
    <col min="5616" max="5616" width="2.8984375" style="5" bestFit="1" customWidth="1"/>
    <col min="5617" max="5617" width="23" style="5"/>
    <col min="5618" max="5618" width="3.8984375" style="5" customWidth="1"/>
    <col min="5619" max="5619" width="23" style="5"/>
    <col min="5620" max="5620" width="6.8984375" style="5" customWidth="1"/>
    <col min="5621" max="5621" width="6.3984375" style="5" customWidth="1"/>
    <col min="5622" max="5622" width="6" style="5" customWidth="1"/>
    <col min="5623" max="5623" width="9" style="5" customWidth="1"/>
    <col min="5624" max="5624" width="9.3984375" style="5" customWidth="1"/>
    <col min="5625" max="5625" width="9.5" style="5" customWidth="1"/>
    <col min="5626" max="5626" width="8.69921875" style="5" customWidth="1"/>
    <col min="5627" max="5627" width="8.3984375" style="5" customWidth="1"/>
    <col min="5628" max="5628" width="10.5" style="5" customWidth="1"/>
    <col min="5629" max="5629" width="9.8984375" style="5" customWidth="1"/>
    <col min="5630" max="5630" width="8.69921875" style="5" customWidth="1"/>
    <col min="5631" max="5631" width="9" style="5" customWidth="1"/>
    <col min="5632" max="5632" width="8.5" style="5" customWidth="1"/>
    <col min="5633" max="5633" width="9" style="5" customWidth="1"/>
    <col min="5634" max="5635" width="8.09765625" style="5" customWidth="1"/>
    <col min="5636" max="5636" width="9.19921875" style="5" customWidth="1"/>
    <col min="5637" max="5637" width="7.69921875" style="5" customWidth="1"/>
    <col min="5638" max="5639" width="6.8984375" style="5" customWidth="1"/>
    <col min="5640" max="5640" width="11" style="5" customWidth="1"/>
    <col min="5641" max="5642" width="6.8984375" style="5" customWidth="1"/>
    <col min="5643" max="5643" width="15.5" style="5" customWidth="1"/>
    <col min="5644" max="5647" width="6.8984375" style="5" customWidth="1"/>
    <col min="5648" max="5871" width="9" style="5" customWidth="1"/>
    <col min="5872" max="5872" width="2.8984375" style="5" bestFit="1" customWidth="1"/>
    <col min="5873" max="5873" width="23" style="5"/>
    <col min="5874" max="5874" width="3.8984375" style="5" customWidth="1"/>
    <col min="5875" max="5875" width="23" style="5"/>
    <col min="5876" max="5876" width="6.8984375" style="5" customWidth="1"/>
    <col min="5877" max="5877" width="6.3984375" style="5" customWidth="1"/>
    <col min="5878" max="5878" width="6" style="5" customWidth="1"/>
    <col min="5879" max="5879" width="9" style="5" customWidth="1"/>
    <col min="5880" max="5880" width="9.3984375" style="5" customWidth="1"/>
    <col min="5881" max="5881" width="9.5" style="5" customWidth="1"/>
    <col min="5882" max="5882" width="8.69921875" style="5" customWidth="1"/>
    <col min="5883" max="5883" width="8.3984375" style="5" customWidth="1"/>
    <col min="5884" max="5884" width="10.5" style="5" customWidth="1"/>
    <col min="5885" max="5885" width="9.8984375" style="5" customWidth="1"/>
    <col min="5886" max="5886" width="8.69921875" style="5" customWidth="1"/>
    <col min="5887" max="5887" width="9" style="5" customWidth="1"/>
    <col min="5888" max="5888" width="8.5" style="5" customWidth="1"/>
    <col min="5889" max="5889" width="9" style="5" customWidth="1"/>
    <col min="5890" max="5891" width="8.09765625" style="5" customWidth="1"/>
    <col min="5892" max="5892" width="9.19921875" style="5" customWidth="1"/>
    <col min="5893" max="5893" width="7.69921875" style="5" customWidth="1"/>
    <col min="5894" max="5895" width="6.8984375" style="5" customWidth="1"/>
    <col min="5896" max="5896" width="11" style="5" customWidth="1"/>
    <col min="5897" max="5898" width="6.8984375" style="5" customWidth="1"/>
    <col min="5899" max="5899" width="15.5" style="5" customWidth="1"/>
    <col min="5900" max="5903" width="6.8984375" style="5" customWidth="1"/>
    <col min="5904" max="6127" width="9" style="5" customWidth="1"/>
    <col min="6128" max="6128" width="2.8984375" style="5" bestFit="1" customWidth="1"/>
    <col min="6129" max="6129" width="23" style="5"/>
    <col min="6130" max="6130" width="3.8984375" style="5" customWidth="1"/>
    <col min="6131" max="6131" width="23" style="5"/>
    <col min="6132" max="6132" width="6.8984375" style="5" customWidth="1"/>
    <col min="6133" max="6133" width="6.3984375" style="5" customWidth="1"/>
    <col min="6134" max="6134" width="6" style="5" customWidth="1"/>
    <col min="6135" max="6135" width="9" style="5" customWidth="1"/>
    <col min="6136" max="6136" width="9.3984375" style="5" customWidth="1"/>
    <col min="6137" max="6137" width="9.5" style="5" customWidth="1"/>
    <col min="6138" max="6138" width="8.69921875" style="5" customWidth="1"/>
    <col min="6139" max="6139" width="8.3984375" style="5" customWidth="1"/>
    <col min="6140" max="6140" width="10.5" style="5" customWidth="1"/>
    <col min="6141" max="6141" width="9.8984375" style="5" customWidth="1"/>
    <col min="6142" max="6142" width="8.69921875" style="5" customWidth="1"/>
    <col min="6143" max="6143" width="9" style="5" customWidth="1"/>
    <col min="6144" max="6144" width="8.5" style="5" customWidth="1"/>
    <col min="6145" max="6145" width="9" style="5" customWidth="1"/>
    <col min="6146" max="6147" width="8.09765625" style="5" customWidth="1"/>
    <col min="6148" max="6148" width="9.19921875" style="5" customWidth="1"/>
    <col min="6149" max="6149" width="7.69921875" style="5" customWidth="1"/>
    <col min="6150" max="6151" width="6.8984375" style="5" customWidth="1"/>
    <col min="6152" max="6152" width="11" style="5" customWidth="1"/>
    <col min="6153" max="6154" width="6.8984375" style="5" customWidth="1"/>
    <col min="6155" max="6155" width="15.5" style="5" customWidth="1"/>
    <col min="6156" max="6159" width="6.8984375" style="5" customWidth="1"/>
    <col min="6160" max="6383" width="9" style="5" customWidth="1"/>
    <col min="6384" max="6384" width="2.8984375" style="5" bestFit="1" customWidth="1"/>
    <col min="6385" max="6385" width="23" style="5"/>
    <col min="6386" max="6386" width="3.8984375" style="5" customWidth="1"/>
    <col min="6387" max="6387" width="23" style="5"/>
    <col min="6388" max="6388" width="6.8984375" style="5" customWidth="1"/>
    <col min="6389" max="6389" width="6.3984375" style="5" customWidth="1"/>
    <col min="6390" max="6390" width="6" style="5" customWidth="1"/>
    <col min="6391" max="6391" width="9" style="5" customWidth="1"/>
    <col min="6392" max="6392" width="9.3984375" style="5" customWidth="1"/>
    <col min="6393" max="6393" width="9.5" style="5" customWidth="1"/>
    <col min="6394" max="6394" width="8.69921875" style="5" customWidth="1"/>
    <col min="6395" max="6395" width="8.3984375" style="5" customWidth="1"/>
    <col min="6396" max="6396" width="10.5" style="5" customWidth="1"/>
    <col min="6397" max="6397" width="9.8984375" style="5" customWidth="1"/>
    <col min="6398" max="6398" width="8.69921875" style="5" customWidth="1"/>
    <col min="6399" max="6399" width="9" style="5" customWidth="1"/>
    <col min="6400" max="6400" width="8.5" style="5" customWidth="1"/>
    <col min="6401" max="6401" width="9" style="5" customWidth="1"/>
    <col min="6402" max="6403" width="8.09765625" style="5" customWidth="1"/>
    <col min="6404" max="6404" width="9.19921875" style="5" customWidth="1"/>
    <col min="6405" max="6405" width="7.69921875" style="5" customWidth="1"/>
    <col min="6406" max="6407" width="6.8984375" style="5" customWidth="1"/>
    <col min="6408" max="6408" width="11" style="5" customWidth="1"/>
    <col min="6409" max="6410" width="6.8984375" style="5" customWidth="1"/>
    <col min="6411" max="6411" width="15.5" style="5" customWidth="1"/>
    <col min="6412" max="6415" width="6.8984375" style="5" customWidth="1"/>
    <col min="6416" max="6639" width="9" style="5" customWidth="1"/>
    <col min="6640" max="6640" width="2.8984375" style="5" bestFit="1" customWidth="1"/>
    <col min="6641" max="6641" width="23" style="5"/>
    <col min="6642" max="6642" width="3.8984375" style="5" customWidth="1"/>
    <col min="6643" max="6643" width="23" style="5"/>
    <col min="6644" max="6644" width="6.8984375" style="5" customWidth="1"/>
    <col min="6645" max="6645" width="6.3984375" style="5" customWidth="1"/>
    <col min="6646" max="6646" width="6" style="5" customWidth="1"/>
    <col min="6647" max="6647" width="9" style="5" customWidth="1"/>
    <col min="6648" max="6648" width="9.3984375" style="5" customWidth="1"/>
    <col min="6649" max="6649" width="9.5" style="5" customWidth="1"/>
    <col min="6650" max="6650" width="8.69921875" style="5" customWidth="1"/>
    <col min="6651" max="6651" width="8.3984375" style="5" customWidth="1"/>
    <col min="6652" max="6652" width="10.5" style="5" customWidth="1"/>
    <col min="6653" max="6653" width="9.8984375" style="5" customWidth="1"/>
    <col min="6654" max="6654" width="8.69921875" style="5" customWidth="1"/>
    <col min="6655" max="6655" width="9" style="5" customWidth="1"/>
    <col min="6656" max="6656" width="8.5" style="5" customWidth="1"/>
    <col min="6657" max="6657" width="9" style="5" customWidth="1"/>
    <col min="6658" max="6659" width="8.09765625" style="5" customWidth="1"/>
    <col min="6660" max="6660" width="9.19921875" style="5" customWidth="1"/>
    <col min="6661" max="6661" width="7.69921875" style="5" customWidth="1"/>
    <col min="6662" max="6663" width="6.8984375" style="5" customWidth="1"/>
    <col min="6664" max="6664" width="11" style="5" customWidth="1"/>
    <col min="6665" max="6666" width="6.8984375" style="5" customWidth="1"/>
    <col min="6667" max="6667" width="15.5" style="5" customWidth="1"/>
    <col min="6668" max="6671" width="6.8984375" style="5" customWidth="1"/>
    <col min="6672" max="6895" width="9" style="5" customWidth="1"/>
    <col min="6896" max="6896" width="2.8984375" style="5" bestFit="1" customWidth="1"/>
    <col min="6897" max="6897" width="23" style="5"/>
    <col min="6898" max="6898" width="3.8984375" style="5" customWidth="1"/>
    <col min="6899" max="6899" width="23" style="5"/>
    <col min="6900" max="6900" width="6.8984375" style="5" customWidth="1"/>
    <col min="6901" max="6901" width="6.3984375" style="5" customWidth="1"/>
    <col min="6902" max="6902" width="6" style="5" customWidth="1"/>
    <col min="6903" max="6903" width="9" style="5" customWidth="1"/>
    <col min="6904" max="6904" width="9.3984375" style="5" customWidth="1"/>
    <col min="6905" max="6905" width="9.5" style="5" customWidth="1"/>
    <col min="6906" max="6906" width="8.69921875" style="5" customWidth="1"/>
    <col min="6907" max="6907" width="8.3984375" style="5" customWidth="1"/>
    <col min="6908" max="6908" width="10.5" style="5" customWidth="1"/>
    <col min="6909" max="6909" width="9.8984375" style="5" customWidth="1"/>
    <col min="6910" max="6910" width="8.69921875" style="5" customWidth="1"/>
    <col min="6911" max="6911" width="9" style="5" customWidth="1"/>
    <col min="6912" max="6912" width="8.5" style="5" customWidth="1"/>
    <col min="6913" max="6913" width="9" style="5" customWidth="1"/>
    <col min="6914" max="6915" width="8.09765625" style="5" customWidth="1"/>
    <col min="6916" max="6916" width="9.19921875" style="5" customWidth="1"/>
    <col min="6917" max="6917" width="7.69921875" style="5" customWidth="1"/>
    <col min="6918" max="6919" width="6.8984375" style="5" customWidth="1"/>
    <col min="6920" max="6920" width="11" style="5" customWidth="1"/>
    <col min="6921" max="6922" width="6.8984375" style="5" customWidth="1"/>
    <col min="6923" max="6923" width="15.5" style="5" customWidth="1"/>
    <col min="6924" max="6927" width="6.8984375" style="5" customWidth="1"/>
    <col min="6928" max="7151" width="9" style="5" customWidth="1"/>
    <col min="7152" max="7152" width="2.8984375" style="5" bestFit="1" customWidth="1"/>
    <col min="7153" max="7153" width="23" style="5"/>
    <col min="7154" max="7154" width="3.8984375" style="5" customWidth="1"/>
    <col min="7155" max="7155" width="23" style="5"/>
    <col min="7156" max="7156" width="6.8984375" style="5" customWidth="1"/>
    <col min="7157" max="7157" width="6.3984375" style="5" customWidth="1"/>
    <col min="7158" max="7158" width="6" style="5" customWidth="1"/>
    <col min="7159" max="7159" width="9" style="5" customWidth="1"/>
    <col min="7160" max="7160" width="9.3984375" style="5" customWidth="1"/>
    <col min="7161" max="7161" width="9.5" style="5" customWidth="1"/>
    <col min="7162" max="7162" width="8.69921875" style="5" customWidth="1"/>
    <col min="7163" max="7163" width="8.3984375" style="5" customWidth="1"/>
    <col min="7164" max="7164" width="10.5" style="5" customWidth="1"/>
    <col min="7165" max="7165" width="9.8984375" style="5" customWidth="1"/>
    <col min="7166" max="7166" width="8.69921875" style="5" customWidth="1"/>
    <col min="7167" max="7167" width="9" style="5" customWidth="1"/>
    <col min="7168" max="7168" width="8.5" style="5" customWidth="1"/>
    <col min="7169" max="7169" width="9" style="5" customWidth="1"/>
    <col min="7170" max="7171" width="8.09765625" style="5" customWidth="1"/>
    <col min="7172" max="7172" width="9.19921875" style="5" customWidth="1"/>
    <col min="7173" max="7173" width="7.69921875" style="5" customWidth="1"/>
    <col min="7174" max="7175" width="6.8984375" style="5" customWidth="1"/>
    <col min="7176" max="7176" width="11" style="5" customWidth="1"/>
    <col min="7177" max="7178" width="6.8984375" style="5" customWidth="1"/>
    <col min="7179" max="7179" width="15.5" style="5" customWidth="1"/>
    <col min="7180" max="7183" width="6.8984375" style="5" customWidth="1"/>
    <col min="7184" max="7407" width="9" style="5" customWidth="1"/>
    <col min="7408" max="7408" width="2.8984375" style="5" bestFit="1" customWidth="1"/>
    <col min="7409" max="7409" width="23" style="5"/>
    <col min="7410" max="7410" width="3.8984375" style="5" customWidth="1"/>
    <col min="7411" max="7411" width="23" style="5"/>
    <col min="7412" max="7412" width="6.8984375" style="5" customWidth="1"/>
    <col min="7413" max="7413" width="6.3984375" style="5" customWidth="1"/>
    <col min="7414" max="7414" width="6" style="5" customWidth="1"/>
    <col min="7415" max="7415" width="9" style="5" customWidth="1"/>
    <col min="7416" max="7416" width="9.3984375" style="5" customWidth="1"/>
    <col min="7417" max="7417" width="9.5" style="5" customWidth="1"/>
    <col min="7418" max="7418" width="8.69921875" style="5" customWidth="1"/>
    <col min="7419" max="7419" width="8.3984375" style="5" customWidth="1"/>
    <col min="7420" max="7420" width="10.5" style="5" customWidth="1"/>
    <col min="7421" max="7421" width="9.8984375" style="5" customWidth="1"/>
    <col min="7422" max="7422" width="8.69921875" style="5" customWidth="1"/>
    <col min="7423" max="7423" width="9" style="5" customWidth="1"/>
    <col min="7424" max="7424" width="8.5" style="5" customWidth="1"/>
    <col min="7425" max="7425" width="9" style="5" customWidth="1"/>
    <col min="7426" max="7427" width="8.09765625" style="5" customWidth="1"/>
    <col min="7428" max="7428" width="9.19921875" style="5" customWidth="1"/>
    <col min="7429" max="7429" width="7.69921875" style="5" customWidth="1"/>
    <col min="7430" max="7431" width="6.8984375" style="5" customWidth="1"/>
    <col min="7432" max="7432" width="11" style="5" customWidth="1"/>
    <col min="7433" max="7434" width="6.8984375" style="5" customWidth="1"/>
    <col min="7435" max="7435" width="15.5" style="5" customWidth="1"/>
    <col min="7436" max="7439" width="6.8984375" style="5" customWidth="1"/>
    <col min="7440" max="7663" width="9" style="5" customWidth="1"/>
    <col min="7664" max="7664" width="2.8984375" style="5" bestFit="1" customWidth="1"/>
    <col min="7665" max="7665" width="23" style="5"/>
    <col min="7666" max="7666" width="3.8984375" style="5" customWidth="1"/>
    <col min="7667" max="7667" width="23" style="5"/>
    <col min="7668" max="7668" width="6.8984375" style="5" customWidth="1"/>
    <col min="7669" max="7669" width="6.3984375" style="5" customWidth="1"/>
    <col min="7670" max="7670" width="6" style="5" customWidth="1"/>
    <col min="7671" max="7671" width="9" style="5" customWidth="1"/>
    <col min="7672" max="7672" width="9.3984375" style="5" customWidth="1"/>
    <col min="7673" max="7673" width="9.5" style="5" customWidth="1"/>
    <col min="7674" max="7674" width="8.69921875" style="5" customWidth="1"/>
    <col min="7675" max="7675" width="8.3984375" style="5" customWidth="1"/>
    <col min="7676" max="7676" width="10.5" style="5" customWidth="1"/>
    <col min="7677" max="7677" width="9.8984375" style="5" customWidth="1"/>
    <col min="7678" max="7678" width="8.69921875" style="5" customWidth="1"/>
    <col min="7679" max="7679" width="9" style="5" customWidth="1"/>
    <col min="7680" max="7680" width="8.5" style="5" customWidth="1"/>
    <col min="7681" max="7681" width="9" style="5" customWidth="1"/>
    <col min="7682" max="7683" width="8.09765625" style="5" customWidth="1"/>
    <col min="7684" max="7684" width="9.19921875" style="5" customWidth="1"/>
    <col min="7685" max="7685" width="7.69921875" style="5" customWidth="1"/>
    <col min="7686" max="7687" width="6.8984375" style="5" customWidth="1"/>
    <col min="7688" max="7688" width="11" style="5" customWidth="1"/>
    <col min="7689" max="7690" width="6.8984375" style="5" customWidth="1"/>
    <col min="7691" max="7691" width="15.5" style="5" customWidth="1"/>
    <col min="7692" max="7695" width="6.8984375" style="5" customWidth="1"/>
    <col min="7696" max="7919" width="9" style="5" customWidth="1"/>
    <col min="7920" max="7920" width="2.8984375" style="5" bestFit="1" customWidth="1"/>
    <col min="7921" max="7921" width="23" style="5"/>
    <col min="7922" max="7922" width="3.8984375" style="5" customWidth="1"/>
    <col min="7923" max="7923" width="23" style="5"/>
    <col min="7924" max="7924" width="6.8984375" style="5" customWidth="1"/>
    <col min="7925" max="7925" width="6.3984375" style="5" customWidth="1"/>
    <col min="7926" max="7926" width="6" style="5" customWidth="1"/>
    <col min="7927" max="7927" width="9" style="5" customWidth="1"/>
    <col min="7928" max="7928" width="9.3984375" style="5" customWidth="1"/>
    <col min="7929" max="7929" width="9.5" style="5" customWidth="1"/>
    <col min="7930" max="7930" width="8.69921875" style="5" customWidth="1"/>
    <col min="7931" max="7931" width="8.3984375" style="5" customWidth="1"/>
    <col min="7932" max="7932" width="10.5" style="5" customWidth="1"/>
    <col min="7933" max="7933" width="9.8984375" style="5" customWidth="1"/>
    <col min="7934" max="7934" width="8.69921875" style="5" customWidth="1"/>
    <col min="7935" max="7935" width="9" style="5" customWidth="1"/>
    <col min="7936" max="7936" width="8.5" style="5" customWidth="1"/>
    <col min="7937" max="7937" width="9" style="5" customWidth="1"/>
    <col min="7938" max="7939" width="8.09765625" style="5" customWidth="1"/>
    <col min="7940" max="7940" width="9.19921875" style="5" customWidth="1"/>
    <col min="7941" max="7941" width="7.69921875" style="5" customWidth="1"/>
    <col min="7942" max="7943" width="6.8984375" style="5" customWidth="1"/>
    <col min="7944" max="7944" width="11" style="5" customWidth="1"/>
    <col min="7945" max="7946" width="6.8984375" style="5" customWidth="1"/>
    <col min="7947" max="7947" width="15.5" style="5" customWidth="1"/>
    <col min="7948" max="7951" width="6.8984375" style="5" customWidth="1"/>
    <col min="7952" max="8175" width="9" style="5" customWidth="1"/>
    <col min="8176" max="8176" width="2.8984375" style="5" bestFit="1" customWidth="1"/>
    <col min="8177" max="8177" width="23" style="5"/>
    <col min="8178" max="8178" width="3.8984375" style="5" customWidth="1"/>
    <col min="8179" max="8179" width="23" style="5"/>
    <col min="8180" max="8180" width="6.8984375" style="5" customWidth="1"/>
    <col min="8181" max="8181" width="6.3984375" style="5" customWidth="1"/>
    <col min="8182" max="8182" width="6" style="5" customWidth="1"/>
    <col min="8183" max="8183" width="9" style="5" customWidth="1"/>
    <col min="8184" max="8184" width="9.3984375" style="5" customWidth="1"/>
    <col min="8185" max="8185" width="9.5" style="5" customWidth="1"/>
    <col min="8186" max="8186" width="8.69921875" style="5" customWidth="1"/>
    <col min="8187" max="8187" width="8.3984375" style="5" customWidth="1"/>
    <col min="8188" max="8188" width="10.5" style="5" customWidth="1"/>
    <col min="8189" max="8189" width="9.8984375" style="5" customWidth="1"/>
    <col min="8190" max="8190" width="8.69921875" style="5" customWidth="1"/>
    <col min="8191" max="8191" width="9" style="5" customWidth="1"/>
    <col min="8192" max="8192" width="8.5" style="5" customWidth="1"/>
    <col min="8193" max="8193" width="9" style="5" customWidth="1"/>
    <col min="8194" max="8195" width="8.09765625" style="5" customWidth="1"/>
    <col min="8196" max="8196" width="9.19921875" style="5" customWidth="1"/>
    <col min="8197" max="8197" width="7.69921875" style="5" customWidth="1"/>
    <col min="8198" max="8199" width="6.8984375" style="5" customWidth="1"/>
    <col min="8200" max="8200" width="11" style="5" customWidth="1"/>
    <col min="8201" max="8202" width="6.8984375" style="5" customWidth="1"/>
    <col min="8203" max="8203" width="15.5" style="5" customWidth="1"/>
    <col min="8204" max="8207" width="6.8984375" style="5" customWidth="1"/>
    <col min="8208" max="8431" width="9" style="5" customWidth="1"/>
    <col min="8432" max="8432" width="2.8984375" style="5" bestFit="1" customWidth="1"/>
    <col min="8433" max="8433" width="23" style="5"/>
    <col min="8434" max="8434" width="3.8984375" style="5" customWidth="1"/>
    <col min="8435" max="8435" width="23" style="5"/>
    <col min="8436" max="8436" width="6.8984375" style="5" customWidth="1"/>
    <col min="8437" max="8437" width="6.3984375" style="5" customWidth="1"/>
    <col min="8438" max="8438" width="6" style="5" customWidth="1"/>
    <col min="8439" max="8439" width="9" style="5" customWidth="1"/>
    <col min="8440" max="8440" width="9.3984375" style="5" customWidth="1"/>
    <col min="8441" max="8441" width="9.5" style="5" customWidth="1"/>
    <col min="8442" max="8442" width="8.69921875" style="5" customWidth="1"/>
    <col min="8443" max="8443" width="8.3984375" style="5" customWidth="1"/>
    <col min="8444" max="8444" width="10.5" style="5" customWidth="1"/>
    <col min="8445" max="8445" width="9.8984375" style="5" customWidth="1"/>
    <col min="8446" max="8446" width="8.69921875" style="5" customWidth="1"/>
    <col min="8447" max="8447" width="9" style="5" customWidth="1"/>
    <col min="8448" max="8448" width="8.5" style="5" customWidth="1"/>
    <col min="8449" max="8449" width="9" style="5" customWidth="1"/>
    <col min="8450" max="8451" width="8.09765625" style="5" customWidth="1"/>
    <col min="8452" max="8452" width="9.19921875" style="5" customWidth="1"/>
    <col min="8453" max="8453" width="7.69921875" style="5" customWidth="1"/>
    <col min="8454" max="8455" width="6.8984375" style="5" customWidth="1"/>
    <col min="8456" max="8456" width="11" style="5" customWidth="1"/>
    <col min="8457" max="8458" width="6.8984375" style="5" customWidth="1"/>
    <col min="8459" max="8459" width="15.5" style="5" customWidth="1"/>
    <col min="8460" max="8463" width="6.8984375" style="5" customWidth="1"/>
    <col min="8464" max="8687" width="9" style="5" customWidth="1"/>
    <col min="8688" max="8688" width="2.8984375" style="5" bestFit="1" customWidth="1"/>
    <col min="8689" max="8689" width="23" style="5"/>
    <col min="8690" max="8690" width="3.8984375" style="5" customWidth="1"/>
    <col min="8691" max="8691" width="23" style="5"/>
    <col min="8692" max="8692" width="6.8984375" style="5" customWidth="1"/>
    <col min="8693" max="8693" width="6.3984375" style="5" customWidth="1"/>
    <col min="8694" max="8694" width="6" style="5" customWidth="1"/>
    <col min="8695" max="8695" width="9" style="5" customWidth="1"/>
    <col min="8696" max="8696" width="9.3984375" style="5" customWidth="1"/>
    <col min="8697" max="8697" width="9.5" style="5" customWidth="1"/>
    <col min="8698" max="8698" width="8.69921875" style="5" customWidth="1"/>
    <col min="8699" max="8699" width="8.3984375" style="5" customWidth="1"/>
    <col min="8700" max="8700" width="10.5" style="5" customWidth="1"/>
    <col min="8701" max="8701" width="9.8984375" style="5" customWidth="1"/>
    <col min="8702" max="8702" width="8.69921875" style="5" customWidth="1"/>
    <col min="8703" max="8703" width="9" style="5" customWidth="1"/>
    <col min="8704" max="8704" width="8.5" style="5" customWidth="1"/>
    <col min="8705" max="8705" width="9" style="5" customWidth="1"/>
    <col min="8706" max="8707" width="8.09765625" style="5" customWidth="1"/>
    <col min="8708" max="8708" width="9.19921875" style="5" customWidth="1"/>
    <col min="8709" max="8709" width="7.69921875" style="5" customWidth="1"/>
    <col min="8710" max="8711" width="6.8984375" style="5" customWidth="1"/>
    <col min="8712" max="8712" width="11" style="5" customWidth="1"/>
    <col min="8713" max="8714" width="6.8984375" style="5" customWidth="1"/>
    <col min="8715" max="8715" width="15.5" style="5" customWidth="1"/>
    <col min="8716" max="8719" width="6.8984375" style="5" customWidth="1"/>
    <col min="8720" max="8943" width="9" style="5" customWidth="1"/>
    <col min="8944" max="8944" width="2.8984375" style="5" bestFit="1" customWidth="1"/>
    <col min="8945" max="8945" width="23" style="5"/>
    <col min="8946" max="8946" width="3.8984375" style="5" customWidth="1"/>
    <col min="8947" max="8947" width="23" style="5"/>
    <col min="8948" max="8948" width="6.8984375" style="5" customWidth="1"/>
    <col min="8949" max="8949" width="6.3984375" style="5" customWidth="1"/>
    <col min="8950" max="8950" width="6" style="5" customWidth="1"/>
    <col min="8951" max="8951" width="9" style="5" customWidth="1"/>
    <col min="8952" max="8952" width="9.3984375" style="5" customWidth="1"/>
    <col min="8953" max="8953" width="9.5" style="5" customWidth="1"/>
    <col min="8954" max="8954" width="8.69921875" style="5" customWidth="1"/>
    <col min="8955" max="8955" width="8.3984375" style="5" customWidth="1"/>
    <col min="8956" max="8956" width="10.5" style="5" customWidth="1"/>
    <col min="8957" max="8957" width="9.8984375" style="5" customWidth="1"/>
    <col min="8958" max="8958" width="8.69921875" style="5" customWidth="1"/>
    <col min="8959" max="8959" width="9" style="5" customWidth="1"/>
    <col min="8960" max="8960" width="8.5" style="5" customWidth="1"/>
    <col min="8961" max="8961" width="9" style="5" customWidth="1"/>
    <col min="8962" max="8963" width="8.09765625" style="5" customWidth="1"/>
    <col min="8964" max="8964" width="9.19921875" style="5" customWidth="1"/>
    <col min="8965" max="8965" width="7.69921875" style="5" customWidth="1"/>
    <col min="8966" max="8967" width="6.8984375" style="5" customWidth="1"/>
    <col min="8968" max="8968" width="11" style="5" customWidth="1"/>
    <col min="8969" max="8970" width="6.8984375" style="5" customWidth="1"/>
    <col min="8971" max="8971" width="15.5" style="5" customWidth="1"/>
    <col min="8972" max="8975" width="6.8984375" style="5" customWidth="1"/>
    <col min="8976" max="9199" width="9" style="5" customWidth="1"/>
    <col min="9200" max="9200" width="2.8984375" style="5" bestFit="1" customWidth="1"/>
    <col min="9201" max="9201" width="23" style="5"/>
    <col min="9202" max="9202" width="3.8984375" style="5" customWidth="1"/>
    <col min="9203" max="9203" width="23" style="5"/>
    <col min="9204" max="9204" width="6.8984375" style="5" customWidth="1"/>
    <col min="9205" max="9205" width="6.3984375" style="5" customWidth="1"/>
    <col min="9206" max="9206" width="6" style="5" customWidth="1"/>
    <col min="9207" max="9207" width="9" style="5" customWidth="1"/>
    <col min="9208" max="9208" width="9.3984375" style="5" customWidth="1"/>
    <col min="9209" max="9209" width="9.5" style="5" customWidth="1"/>
    <col min="9210" max="9210" width="8.69921875" style="5" customWidth="1"/>
    <col min="9211" max="9211" width="8.3984375" style="5" customWidth="1"/>
    <col min="9212" max="9212" width="10.5" style="5" customWidth="1"/>
    <col min="9213" max="9213" width="9.8984375" style="5" customWidth="1"/>
    <col min="9214" max="9214" width="8.69921875" style="5" customWidth="1"/>
    <col min="9215" max="9215" width="9" style="5" customWidth="1"/>
    <col min="9216" max="9216" width="8.5" style="5" customWidth="1"/>
    <col min="9217" max="9217" width="9" style="5" customWidth="1"/>
    <col min="9218" max="9219" width="8.09765625" style="5" customWidth="1"/>
    <col min="9220" max="9220" width="9.19921875" style="5" customWidth="1"/>
    <col min="9221" max="9221" width="7.69921875" style="5" customWidth="1"/>
    <col min="9222" max="9223" width="6.8984375" style="5" customWidth="1"/>
    <col min="9224" max="9224" width="11" style="5" customWidth="1"/>
    <col min="9225" max="9226" width="6.8984375" style="5" customWidth="1"/>
    <col min="9227" max="9227" width="15.5" style="5" customWidth="1"/>
    <col min="9228" max="9231" width="6.8984375" style="5" customWidth="1"/>
    <col min="9232" max="9455" width="9" style="5" customWidth="1"/>
    <col min="9456" max="9456" width="2.8984375" style="5" bestFit="1" customWidth="1"/>
    <col min="9457" max="9457" width="23" style="5"/>
    <col min="9458" max="9458" width="3.8984375" style="5" customWidth="1"/>
    <col min="9459" max="9459" width="23" style="5"/>
    <col min="9460" max="9460" width="6.8984375" style="5" customWidth="1"/>
    <col min="9461" max="9461" width="6.3984375" style="5" customWidth="1"/>
    <col min="9462" max="9462" width="6" style="5" customWidth="1"/>
    <col min="9463" max="9463" width="9" style="5" customWidth="1"/>
    <col min="9464" max="9464" width="9.3984375" style="5" customWidth="1"/>
    <col min="9465" max="9465" width="9.5" style="5" customWidth="1"/>
    <col min="9466" max="9466" width="8.69921875" style="5" customWidth="1"/>
    <col min="9467" max="9467" width="8.3984375" style="5" customWidth="1"/>
    <col min="9468" max="9468" width="10.5" style="5" customWidth="1"/>
    <col min="9469" max="9469" width="9.8984375" style="5" customWidth="1"/>
    <col min="9470" max="9470" width="8.69921875" style="5" customWidth="1"/>
    <col min="9471" max="9471" width="9" style="5" customWidth="1"/>
    <col min="9472" max="9472" width="8.5" style="5" customWidth="1"/>
    <col min="9473" max="9473" width="9" style="5" customWidth="1"/>
    <col min="9474" max="9475" width="8.09765625" style="5" customWidth="1"/>
    <col min="9476" max="9476" width="9.19921875" style="5" customWidth="1"/>
    <col min="9477" max="9477" width="7.69921875" style="5" customWidth="1"/>
    <col min="9478" max="9479" width="6.8984375" style="5" customWidth="1"/>
    <col min="9480" max="9480" width="11" style="5" customWidth="1"/>
    <col min="9481" max="9482" width="6.8984375" style="5" customWidth="1"/>
    <col min="9483" max="9483" width="15.5" style="5" customWidth="1"/>
    <col min="9484" max="9487" width="6.8984375" style="5" customWidth="1"/>
    <col min="9488" max="9711" width="9" style="5" customWidth="1"/>
    <col min="9712" max="9712" width="2.8984375" style="5" bestFit="1" customWidth="1"/>
    <col min="9713" max="9713" width="23" style="5"/>
    <col min="9714" max="9714" width="3.8984375" style="5" customWidth="1"/>
    <col min="9715" max="9715" width="23" style="5"/>
    <col min="9716" max="9716" width="6.8984375" style="5" customWidth="1"/>
    <col min="9717" max="9717" width="6.3984375" style="5" customWidth="1"/>
    <col min="9718" max="9718" width="6" style="5" customWidth="1"/>
    <col min="9719" max="9719" width="9" style="5" customWidth="1"/>
    <col min="9720" max="9720" width="9.3984375" style="5" customWidth="1"/>
    <col min="9721" max="9721" width="9.5" style="5" customWidth="1"/>
    <col min="9722" max="9722" width="8.69921875" style="5" customWidth="1"/>
    <col min="9723" max="9723" width="8.3984375" style="5" customWidth="1"/>
    <col min="9724" max="9724" width="10.5" style="5" customWidth="1"/>
    <col min="9725" max="9725" width="9.8984375" style="5" customWidth="1"/>
    <col min="9726" max="9726" width="8.69921875" style="5" customWidth="1"/>
    <col min="9727" max="9727" width="9" style="5" customWidth="1"/>
    <col min="9728" max="9728" width="8.5" style="5" customWidth="1"/>
    <col min="9729" max="9729" width="9" style="5" customWidth="1"/>
    <col min="9730" max="9731" width="8.09765625" style="5" customWidth="1"/>
    <col min="9732" max="9732" width="9.19921875" style="5" customWidth="1"/>
    <col min="9733" max="9733" width="7.69921875" style="5" customWidth="1"/>
    <col min="9734" max="9735" width="6.8984375" style="5" customWidth="1"/>
    <col min="9736" max="9736" width="11" style="5" customWidth="1"/>
    <col min="9737" max="9738" width="6.8984375" style="5" customWidth="1"/>
    <col min="9739" max="9739" width="15.5" style="5" customWidth="1"/>
    <col min="9740" max="9743" width="6.8984375" style="5" customWidth="1"/>
    <col min="9744" max="9967" width="9" style="5" customWidth="1"/>
    <col min="9968" max="9968" width="2.8984375" style="5" bestFit="1" customWidth="1"/>
    <col min="9969" max="9969" width="23" style="5"/>
    <col min="9970" max="9970" width="3.8984375" style="5" customWidth="1"/>
    <col min="9971" max="9971" width="23" style="5"/>
    <col min="9972" max="9972" width="6.8984375" style="5" customWidth="1"/>
    <col min="9973" max="9973" width="6.3984375" style="5" customWidth="1"/>
    <col min="9974" max="9974" width="6" style="5" customWidth="1"/>
    <col min="9975" max="9975" width="9" style="5" customWidth="1"/>
    <col min="9976" max="9976" width="9.3984375" style="5" customWidth="1"/>
    <col min="9977" max="9977" width="9.5" style="5" customWidth="1"/>
    <col min="9978" max="9978" width="8.69921875" style="5" customWidth="1"/>
    <col min="9979" max="9979" width="8.3984375" style="5" customWidth="1"/>
    <col min="9980" max="9980" width="10.5" style="5" customWidth="1"/>
    <col min="9981" max="9981" width="9.8984375" style="5" customWidth="1"/>
    <col min="9982" max="9982" width="8.69921875" style="5" customWidth="1"/>
    <col min="9983" max="9983" width="9" style="5" customWidth="1"/>
    <col min="9984" max="9984" width="8.5" style="5" customWidth="1"/>
    <col min="9985" max="9985" width="9" style="5" customWidth="1"/>
    <col min="9986" max="9987" width="8.09765625" style="5" customWidth="1"/>
    <col min="9988" max="9988" width="9.19921875" style="5" customWidth="1"/>
    <col min="9989" max="9989" width="7.69921875" style="5" customWidth="1"/>
    <col min="9990" max="9991" width="6.8984375" style="5" customWidth="1"/>
    <col min="9992" max="9992" width="11" style="5" customWidth="1"/>
    <col min="9993" max="9994" width="6.8984375" style="5" customWidth="1"/>
    <col min="9995" max="9995" width="15.5" style="5" customWidth="1"/>
    <col min="9996" max="9999" width="6.8984375" style="5" customWidth="1"/>
    <col min="10000" max="10223" width="9" style="5" customWidth="1"/>
    <col min="10224" max="10224" width="2.8984375" style="5" bestFit="1" customWidth="1"/>
    <col min="10225" max="10225" width="23" style="5"/>
    <col min="10226" max="10226" width="3.8984375" style="5" customWidth="1"/>
    <col min="10227" max="10227" width="23" style="5"/>
    <col min="10228" max="10228" width="6.8984375" style="5" customWidth="1"/>
    <col min="10229" max="10229" width="6.3984375" style="5" customWidth="1"/>
    <col min="10230" max="10230" width="6" style="5" customWidth="1"/>
    <col min="10231" max="10231" width="9" style="5" customWidth="1"/>
    <col min="10232" max="10232" width="9.3984375" style="5" customWidth="1"/>
    <col min="10233" max="10233" width="9.5" style="5" customWidth="1"/>
    <col min="10234" max="10234" width="8.69921875" style="5" customWidth="1"/>
    <col min="10235" max="10235" width="8.3984375" style="5" customWidth="1"/>
    <col min="10236" max="10236" width="10.5" style="5" customWidth="1"/>
    <col min="10237" max="10237" width="9.8984375" style="5" customWidth="1"/>
    <col min="10238" max="10238" width="8.69921875" style="5" customWidth="1"/>
    <col min="10239" max="10239" width="9" style="5" customWidth="1"/>
    <col min="10240" max="10240" width="8.5" style="5" customWidth="1"/>
    <col min="10241" max="10241" width="9" style="5" customWidth="1"/>
    <col min="10242" max="10243" width="8.09765625" style="5" customWidth="1"/>
    <col min="10244" max="10244" width="9.19921875" style="5" customWidth="1"/>
    <col min="10245" max="10245" width="7.69921875" style="5" customWidth="1"/>
    <col min="10246" max="10247" width="6.8984375" style="5" customWidth="1"/>
    <col min="10248" max="10248" width="11" style="5" customWidth="1"/>
    <col min="10249" max="10250" width="6.8984375" style="5" customWidth="1"/>
    <col min="10251" max="10251" width="15.5" style="5" customWidth="1"/>
    <col min="10252" max="10255" width="6.8984375" style="5" customWidth="1"/>
    <col min="10256" max="10479" width="9" style="5" customWidth="1"/>
    <col min="10480" max="10480" width="2.8984375" style="5" bestFit="1" customWidth="1"/>
    <col min="10481" max="10481" width="23" style="5"/>
    <col min="10482" max="10482" width="3.8984375" style="5" customWidth="1"/>
    <col min="10483" max="10483" width="23" style="5"/>
    <col min="10484" max="10484" width="6.8984375" style="5" customWidth="1"/>
    <col min="10485" max="10485" width="6.3984375" style="5" customWidth="1"/>
    <col min="10486" max="10486" width="6" style="5" customWidth="1"/>
    <col min="10487" max="10487" width="9" style="5" customWidth="1"/>
    <col min="10488" max="10488" width="9.3984375" style="5" customWidth="1"/>
    <col min="10489" max="10489" width="9.5" style="5" customWidth="1"/>
    <col min="10490" max="10490" width="8.69921875" style="5" customWidth="1"/>
    <col min="10491" max="10491" width="8.3984375" style="5" customWidth="1"/>
    <col min="10492" max="10492" width="10.5" style="5" customWidth="1"/>
    <col min="10493" max="10493" width="9.8984375" style="5" customWidth="1"/>
    <col min="10494" max="10494" width="8.69921875" style="5" customWidth="1"/>
    <col min="10495" max="10495" width="9" style="5" customWidth="1"/>
    <col min="10496" max="10496" width="8.5" style="5" customWidth="1"/>
    <col min="10497" max="10497" width="9" style="5" customWidth="1"/>
    <col min="10498" max="10499" width="8.09765625" style="5" customWidth="1"/>
    <col min="10500" max="10500" width="9.19921875" style="5" customWidth="1"/>
    <col min="10501" max="10501" width="7.69921875" style="5" customWidth="1"/>
    <col min="10502" max="10503" width="6.8984375" style="5" customWidth="1"/>
    <col min="10504" max="10504" width="11" style="5" customWidth="1"/>
    <col min="10505" max="10506" width="6.8984375" style="5" customWidth="1"/>
    <col min="10507" max="10507" width="15.5" style="5" customWidth="1"/>
    <col min="10508" max="10511" width="6.8984375" style="5" customWidth="1"/>
    <col min="10512" max="10735" width="9" style="5" customWidth="1"/>
    <col min="10736" max="10736" width="2.8984375" style="5" bestFit="1" customWidth="1"/>
    <col min="10737" max="10737" width="23" style="5"/>
    <col min="10738" max="10738" width="3.8984375" style="5" customWidth="1"/>
    <col min="10739" max="10739" width="23" style="5"/>
    <col min="10740" max="10740" width="6.8984375" style="5" customWidth="1"/>
    <col min="10741" max="10741" width="6.3984375" style="5" customWidth="1"/>
    <col min="10742" max="10742" width="6" style="5" customWidth="1"/>
    <col min="10743" max="10743" width="9" style="5" customWidth="1"/>
    <col min="10744" max="10744" width="9.3984375" style="5" customWidth="1"/>
    <col min="10745" max="10745" width="9.5" style="5" customWidth="1"/>
    <col min="10746" max="10746" width="8.69921875" style="5" customWidth="1"/>
    <col min="10747" max="10747" width="8.3984375" style="5" customWidth="1"/>
    <col min="10748" max="10748" width="10.5" style="5" customWidth="1"/>
    <col min="10749" max="10749" width="9.8984375" style="5" customWidth="1"/>
    <col min="10750" max="10750" width="8.69921875" style="5" customWidth="1"/>
    <col min="10751" max="10751" width="9" style="5" customWidth="1"/>
    <col min="10752" max="10752" width="8.5" style="5" customWidth="1"/>
    <col min="10753" max="10753" width="9" style="5" customWidth="1"/>
    <col min="10754" max="10755" width="8.09765625" style="5" customWidth="1"/>
    <col min="10756" max="10756" width="9.19921875" style="5" customWidth="1"/>
    <col min="10757" max="10757" width="7.69921875" style="5" customWidth="1"/>
    <col min="10758" max="10759" width="6.8984375" style="5" customWidth="1"/>
    <col min="10760" max="10760" width="11" style="5" customWidth="1"/>
    <col min="10761" max="10762" width="6.8984375" style="5" customWidth="1"/>
    <col min="10763" max="10763" width="15.5" style="5" customWidth="1"/>
    <col min="10764" max="10767" width="6.8984375" style="5" customWidth="1"/>
    <col min="10768" max="10991" width="9" style="5" customWidth="1"/>
    <col min="10992" max="10992" width="2.8984375" style="5" bestFit="1" customWidth="1"/>
    <col min="10993" max="10993" width="23" style="5"/>
    <col min="10994" max="10994" width="3.8984375" style="5" customWidth="1"/>
    <col min="10995" max="10995" width="23" style="5"/>
    <col min="10996" max="10996" width="6.8984375" style="5" customWidth="1"/>
    <col min="10997" max="10997" width="6.3984375" style="5" customWidth="1"/>
    <col min="10998" max="10998" width="6" style="5" customWidth="1"/>
    <col min="10999" max="10999" width="9" style="5" customWidth="1"/>
    <col min="11000" max="11000" width="9.3984375" style="5" customWidth="1"/>
    <col min="11001" max="11001" width="9.5" style="5" customWidth="1"/>
    <col min="11002" max="11002" width="8.69921875" style="5" customWidth="1"/>
    <col min="11003" max="11003" width="8.3984375" style="5" customWidth="1"/>
    <col min="11004" max="11004" width="10.5" style="5" customWidth="1"/>
    <col min="11005" max="11005" width="9.8984375" style="5" customWidth="1"/>
    <col min="11006" max="11006" width="8.69921875" style="5" customWidth="1"/>
    <col min="11007" max="11007" width="9" style="5" customWidth="1"/>
    <col min="11008" max="11008" width="8.5" style="5" customWidth="1"/>
    <col min="11009" max="11009" width="9" style="5" customWidth="1"/>
    <col min="11010" max="11011" width="8.09765625" style="5" customWidth="1"/>
    <col min="11012" max="11012" width="9.19921875" style="5" customWidth="1"/>
    <col min="11013" max="11013" width="7.69921875" style="5" customWidth="1"/>
    <col min="11014" max="11015" width="6.8984375" style="5" customWidth="1"/>
    <col min="11016" max="11016" width="11" style="5" customWidth="1"/>
    <col min="11017" max="11018" width="6.8984375" style="5" customWidth="1"/>
    <col min="11019" max="11019" width="15.5" style="5" customWidth="1"/>
    <col min="11020" max="11023" width="6.8984375" style="5" customWidth="1"/>
    <col min="11024" max="11247" width="9" style="5" customWidth="1"/>
    <col min="11248" max="11248" width="2.8984375" style="5" bestFit="1" customWidth="1"/>
    <col min="11249" max="11249" width="23" style="5"/>
    <col min="11250" max="11250" width="3.8984375" style="5" customWidth="1"/>
    <col min="11251" max="11251" width="23" style="5"/>
    <col min="11252" max="11252" width="6.8984375" style="5" customWidth="1"/>
    <col min="11253" max="11253" width="6.3984375" style="5" customWidth="1"/>
    <col min="11254" max="11254" width="6" style="5" customWidth="1"/>
    <col min="11255" max="11255" width="9" style="5" customWidth="1"/>
    <col min="11256" max="11256" width="9.3984375" style="5" customWidth="1"/>
    <col min="11257" max="11257" width="9.5" style="5" customWidth="1"/>
    <col min="11258" max="11258" width="8.69921875" style="5" customWidth="1"/>
    <col min="11259" max="11259" width="8.3984375" style="5" customWidth="1"/>
    <col min="11260" max="11260" width="10.5" style="5" customWidth="1"/>
    <col min="11261" max="11261" width="9.8984375" style="5" customWidth="1"/>
    <col min="11262" max="11262" width="8.69921875" style="5" customWidth="1"/>
    <col min="11263" max="11263" width="9" style="5" customWidth="1"/>
    <col min="11264" max="11264" width="8.5" style="5" customWidth="1"/>
    <col min="11265" max="11265" width="9" style="5" customWidth="1"/>
    <col min="11266" max="11267" width="8.09765625" style="5" customWidth="1"/>
    <col min="11268" max="11268" width="9.19921875" style="5" customWidth="1"/>
    <col min="11269" max="11269" width="7.69921875" style="5" customWidth="1"/>
    <col min="11270" max="11271" width="6.8984375" style="5" customWidth="1"/>
    <col min="11272" max="11272" width="11" style="5" customWidth="1"/>
    <col min="11273" max="11274" width="6.8984375" style="5" customWidth="1"/>
    <col min="11275" max="11275" width="15.5" style="5" customWidth="1"/>
    <col min="11276" max="11279" width="6.8984375" style="5" customWidth="1"/>
    <col min="11280" max="11503" width="9" style="5" customWidth="1"/>
    <col min="11504" max="11504" width="2.8984375" style="5" bestFit="1" customWidth="1"/>
    <col min="11505" max="11505" width="23" style="5"/>
    <col min="11506" max="11506" width="3.8984375" style="5" customWidth="1"/>
    <col min="11507" max="11507" width="23" style="5"/>
    <col min="11508" max="11508" width="6.8984375" style="5" customWidth="1"/>
    <col min="11509" max="11509" width="6.3984375" style="5" customWidth="1"/>
    <col min="11510" max="11510" width="6" style="5" customWidth="1"/>
    <col min="11511" max="11511" width="9" style="5" customWidth="1"/>
    <col min="11512" max="11512" width="9.3984375" style="5" customWidth="1"/>
    <col min="11513" max="11513" width="9.5" style="5" customWidth="1"/>
    <col min="11514" max="11514" width="8.69921875" style="5" customWidth="1"/>
    <col min="11515" max="11515" width="8.3984375" style="5" customWidth="1"/>
    <col min="11516" max="11516" width="10.5" style="5" customWidth="1"/>
    <col min="11517" max="11517" width="9.8984375" style="5" customWidth="1"/>
    <col min="11518" max="11518" width="8.69921875" style="5" customWidth="1"/>
    <col min="11519" max="11519" width="9" style="5" customWidth="1"/>
    <col min="11520" max="11520" width="8.5" style="5" customWidth="1"/>
    <col min="11521" max="11521" width="9" style="5" customWidth="1"/>
    <col min="11522" max="11523" width="8.09765625" style="5" customWidth="1"/>
    <col min="11524" max="11524" width="9.19921875" style="5" customWidth="1"/>
    <col min="11525" max="11525" width="7.69921875" style="5" customWidth="1"/>
    <col min="11526" max="11527" width="6.8984375" style="5" customWidth="1"/>
    <col min="11528" max="11528" width="11" style="5" customWidth="1"/>
    <col min="11529" max="11530" width="6.8984375" style="5" customWidth="1"/>
    <col min="11531" max="11531" width="15.5" style="5" customWidth="1"/>
    <col min="11532" max="11535" width="6.8984375" style="5" customWidth="1"/>
    <col min="11536" max="11759" width="9" style="5" customWidth="1"/>
    <col min="11760" max="11760" width="2.8984375" style="5" bestFit="1" customWidth="1"/>
    <col min="11761" max="11761" width="23" style="5"/>
    <col min="11762" max="11762" width="3.8984375" style="5" customWidth="1"/>
    <col min="11763" max="11763" width="23" style="5"/>
    <col min="11764" max="11764" width="6.8984375" style="5" customWidth="1"/>
    <col min="11765" max="11765" width="6.3984375" style="5" customWidth="1"/>
    <col min="11766" max="11766" width="6" style="5" customWidth="1"/>
    <col min="11767" max="11767" width="9" style="5" customWidth="1"/>
    <col min="11768" max="11768" width="9.3984375" style="5" customWidth="1"/>
    <col min="11769" max="11769" width="9.5" style="5" customWidth="1"/>
    <col min="11770" max="11770" width="8.69921875" style="5" customWidth="1"/>
    <col min="11771" max="11771" width="8.3984375" style="5" customWidth="1"/>
    <col min="11772" max="11772" width="10.5" style="5" customWidth="1"/>
    <col min="11773" max="11773" width="9.8984375" style="5" customWidth="1"/>
    <col min="11774" max="11774" width="8.69921875" style="5" customWidth="1"/>
    <col min="11775" max="11775" width="9" style="5" customWidth="1"/>
    <col min="11776" max="11776" width="8.5" style="5" customWidth="1"/>
    <col min="11777" max="11777" width="9" style="5" customWidth="1"/>
    <col min="11778" max="11779" width="8.09765625" style="5" customWidth="1"/>
    <col min="11780" max="11780" width="9.19921875" style="5" customWidth="1"/>
    <col min="11781" max="11781" width="7.69921875" style="5" customWidth="1"/>
    <col min="11782" max="11783" width="6.8984375" style="5" customWidth="1"/>
    <col min="11784" max="11784" width="11" style="5" customWidth="1"/>
    <col min="11785" max="11786" width="6.8984375" style="5" customWidth="1"/>
    <col min="11787" max="11787" width="15.5" style="5" customWidth="1"/>
    <col min="11788" max="11791" width="6.8984375" style="5" customWidth="1"/>
    <col min="11792" max="12015" width="9" style="5" customWidth="1"/>
    <col min="12016" max="12016" width="2.8984375" style="5" bestFit="1" customWidth="1"/>
    <col min="12017" max="12017" width="23" style="5"/>
    <col min="12018" max="12018" width="3.8984375" style="5" customWidth="1"/>
    <col min="12019" max="12019" width="23" style="5"/>
    <col min="12020" max="12020" width="6.8984375" style="5" customWidth="1"/>
    <col min="12021" max="12021" width="6.3984375" style="5" customWidth="1"/>
    <col min="12022" max="12022" width="6" style="5" customWidth="1"/>
    <col min="12023" max="12023" width="9" style="5" customWidth="1"/>
    <col min="12024" max="12024" width="9.3984375" style="5" customWidth="1"/>
    <col min="12025" max="12025" width="9.5" style="5" customWidth="1"/>
    <col min="12026" max="12026" width="8.69921875" style="5" customWidth="1"/>
    <col min="12027" max="12027" width="8.3984375" style="5" customWidth="1"/>
    <col min="12028" max="12028" width="10.5" style="5" customWidth="1"/>
    <col min="12029" max="12029" width="9.8984375" style="5" customWidth="1"/>
    <col min="12030" max="12030" width="8.69921875" style="5" customWidth="1"/>
    <col min="12031" max="12031" width="9" style="5" customWidth="1"/>
    <col min="12032" max="12032" width="8.5" style="5" customWidth="1"/>
    <col min="12033" max="12033" width="9" style="5" customWidth="1"/>
    <col min="12034" max="12035" width="8.09765625" style="5" customWidth="1"/>
    <col min="12036" max="12036" width="9.19921875" style="5" customWidth="1"/>
    <col min="12037" max="12037" width="7.69921875" style="5" customWidth="1"/>
    <col min="12038" max="12039" width="6.8984375" style="5" customWidth="1"/>
    <col min="12040" max="12040" width="11" style="5" customWidth="1"/>
    <col min="12041" max="12042" width="6.8984375" style="5" customWidth="1"/>
    <col min="12043" max="12043" width="15.5" style="5" customWidth="1"/>
    <col min="12044" max="12047" width="6.8984375" style="5" customWidth="1"/>
    <col min="12048" max="12271" width="9" style="5" customWidth="1"/>
    <col min="12272" max="12272" width="2.8984375" style="5" bestFit="1" customWidth="1"/>
    <col min="12273" max="12273" width="23" style="5"/>
    <col min="12274" max="12274" width="3.8984375" style="5" customWidth="1"/>
    <col min="12275" max="12275" width="23" style="5"/>
    <col min="12276" max="12276" width="6.8984375" style="5" customWidth="1"/>
    <col min="12277" max="12277" width="6.3984375" style="5" customWidth="1"/>
    <col min="12278" max="12278" width="6" style="5" customWidth="1"/>
    <col min="12279" max="12279" width="9" style="5" customWidth="1"/>
    <col min="12280" max="12280" width="9.3984375" style="5" customWidth="1"/>
    <col min="12281" max="12281" width="9.5" style="5" customWidth="1"/>
    <col min="12282" max="12282" width="8.69921875" style="5" customWidth="1"/>
    <col min="12283" max="12283" width="8.3984375" style="5" customWidth="1"/>
    <col min="12284" max="12284" width="10.5" style="5" customWidth="1"/>
    <col min="12285" max="12285" width="9.8984375" style="5" customWidth="1"/>
    <col min="12286" max="12286" width="8.69921875" style="5" customWidth="1"/>
    <col min="12287" max="12287" width="9" style="5" customWidth="1"/>
    <col min="12288" max="12288" width="8.5" style="5" customWidth="1"/>
    <col min="12289" max="12289" width="9" style="5" customWidth="1"/>
    <col min="12290" max="12291" width="8.09765625" style="5" customWidth="1"/>
    <col min="12292" max="12292" width="9.19921875" style="5" customWidth="1"/>
    <col min="12293" max="12293" width="7.69921875" style="5" customWidth="1"/>
    <col min="12294" max="12295" width="6.8984375" style="5" customWidth="1"/>
    <col min="12296" max="12296" width="11" style="5" customWidth="1"/>
    <col min="12297" max="12298" width="6.8984375" style="5" customWidth="1"/>
    <col min="12299" max="12299" width="15.5" style="5" customWidth="1"/>
    <col min="12300" max="12303" width="6.8984375" style="5" customWidth="1"/>
    <col min="12304" max="12527" width="9" style="5" customWidth="1"/>
    <col min="12528" max="12528" width="2.8984375" style="5" bestFit="1" customWidth="1"/>
    <col min="12529" max="12529" width="23" style="5"/>
    <col min="12530" max="12530" width="3.8984375" style="5" customWidth="1"/>
    <col min="12531" max="12531" width="23" style="5"/>
    <col min="12532" max="12532" width="6.8984375" style="5" customWidth="1"/>
    <col min="12533" max="12533" width="6.3984375" style="5" customWidth="1"/>
    <col min="12534" max="12534" width="6" style="5" customWidth="1"/>
    <col min="12535" max="12535" width="9" style="5" customWidth="1"/>
    <col min="12536" max="12536" width="9.3984375" style="5" customWidth="1"/>
    <col min="12537" max="12537" width="9.5" style="5" customWidth="1"/>
    <col min="12538" max="12538" width="8.69921875" style="5" customWidth="1"/>
    <col min="12539" max="12539" width="8.3984375" style="5" customWidth="1"/>
    <col min="12540" max="12540" width="10.5" style="5" customWidth="1"/>
    <col min="12541" max="12541" width="9.8984375" style="5" customWidth="1"/>
    <col min="12542" max="12542" width="8.69921875" style="5" customWidth="1"/>
    <col min="12543" max="12543" width="9" style="5" customWidth="1"/>
    <col min="12544" max="12544" width="8.5" style="5" customWidth="1"/>
    <col min="12545" max="12545" width="9" style="5" customWidth="1"/>
    <col min="12546" max="12547" width="8.09765625" style="5" customWidth="1"/>
    <col min="12548" max="12548" width="9.19921875" style="5" customWidth="1"/>
    <col min="12549" max="12549" width="7.69921875" style="5" customWidth="1"/>
    <col min="12550" max="12551" width="6.8984375" style="5" customWidth="1"/>
    <col min="12552" max="12552" width="11" style="5" customWidth="1"/>
    <col min="12553" max="12554" width="6.8984375" style="5" customWidth="1"/>
    <col min="12555" max="12555" width="15.5" style="5" customWidth="1"/>
    <col min="12556" max="12559" width="6.8984375" style="5" customWidth="1"/>
    <col min="12560" max="12783" width="9" style="5" customWidth="1"/>
    <col min="12784" max="12784" width="2.8984375" style="5" bestFit="1" customWidth="1"/>
    <col min="12785" max="12785" width="23" style="5"/>
    <col min="12786" max="12786" width="3.8984375" style="5" customWidth="1"/>
    <col min="12787" max="12787" width="23" style="5"/>
    <col min="12788" max="12788" width="6.8984375" style="5" customWidth="1"/>
    <col min="12789" max="12789" width="6.3984375" style="5" customWidth="1"/>
    <col min="12790" max="12790" width="6" style="5" customWidth="1"/>
    <col min="12791" max="12791" width="9" style="5" customWidth="1"/>
    <col min="12792" max="12792" width="9.3984375" style="5" customWidth="1"/>
    <col min="12793" max="12793" width="9.5" style="5" customWidth="1"/>
    <col min="12794" max="12794" width="8.69921875" style="5" customWidth="1"/>
    <col min="12795" max="12795" width="8.3984375" style="5" customWidth="1"/>
    <col min="12796" max="12796" width="10.5" style="5" customWidth="1"/>
    <col min="12797" max="12797" width="9.8984375" style="5" customWidth="1"/>
    <col min="12798" max="12798" width="8.69921875" style="5" customWidth="1"/>
    <col min="12799" max="12799" width="9" style="5" customWidth="1"/>
    <col min="12800" max="12800" width="8.5" style="5" customWidth="1"/>
    <col min="12801" max="12801" width="9" style="5" customWidth="1"/>
    <col min="12802" max="12803" width="8.09765625" style="5" customWidth="1"/>
    <col min="12804" max="12804" width="9.19921875" style="5" customWidth="1"/>
    <col min="12805" max="12805" width="7.69921875" style="5" customWidth="1"/>
    <col min="12806" max="12807" width="6.8984375" style="5" customWidth="1"/>
    <col min="12808" max="12808" width="11" style="5" customWidth="1"/>
    <col min="12809" max="12810" width="6.8984375" style="5" customWidth="1"/>
    <col min="12811" max="12811" width="15.5" style="5" customWidth="1"/>
    <col min="12812" max="12815" width="6.8984375" style="5" customWidth="1"/>
    <col min="12816" max="13039" width="9" style="5" customWidth="1"/>
    <col min="13040" max="13040" width="2.8984375" style="5" bestFit="1" customWidth="1"/>
    <col min="13041" max="13041" width="23" style="5"/>
    <col min="13042" max="13042" width="3.8984375" style="5" customWidth="1"/>
    <col min="13043" max="13043" width="23" style="5"/>
    <col min="13044" max="13044" width="6.8984375" style="5" customWidth="1"/>
    <col min="13045" max="13045" width="6.3984375" style="5" customWidth="1"/>
    <col min="13046" max="13046" width="6" style="5" customWidth="1"/>
    <col min="13047" max="13047" width="9" style="5" customWidth="1"/>
    <col min="13048" max="13048" width="9.3984375" style="5" customWidth="1"/>
    <col min="13049" max="13049" width="9.5" style="5" customWidth="1"/>
    <col min="13050" max="13050" width="8.69921875" style="5" customWidth="1"/>
    <col min="13051" max="13051" width="8.3984375" style="5" customWidth="1"/>
    <col min="13052" max="13052" width="10.5" style="5" customWidth="1"/>
    <col min="13053" max="13053" width="9.8984375" style="5" customWidth="1"/>
    <col min="13054" max="13054" width="8.69921875" style="5" customWidth="1"/>
    <col min="13055" max="13055" width="9" style="5" customWidth="1"/>
    <col min="13056" max="13056" width="8.5" style="5" customWidth="1"/>
    <col min="13057" max="13057" width="9" style="5" customWidth="1"/>
    <col min="13058" max="13059" width="8.09765625" style="5" customWidth="1"/>
    <col min="13060" max="13060" width="9.19921875" style="5" customWidth="1"/>
    <col min="13061" max="13061" width="7.69921875" style="5" customWidth="1"/>
    <col min="13062" max="13063" width="6.8984375" style="5" customWidth="1"/>
    <col min="13064" max="13064" width="11" style="5" customWidth="1"/>
    <col min="13065" max="13066" width="6.8984375" style="5" customWidth="1"/>
    <col min="13067" max="13067" width="15.5" style="5" customWidth="1"/>
    <col min="13068" max="13071" width="6.8984375" style="5" customWidth="1"/>
    <col min="13072" max="13295" width="9" style="5" customWidth="1"/>
    <col min="13296" max="13296" width="2.8984375" style="5" bestFit="1" customWidth="1"/>
    <col min="13297" max="13297" width="23" style="5"/>
    <col min="13298" max="13298" width="3.8984375" style="5" customWidth="1"/>
    <col min="13299" max="13299" width="23" style="5"/>
    <col min="13300" max="13300" width="6.8984375" style="5" customWidth="1"/>
    <col min="13301" max="13301" width="6.3984375" style="5" customWidth="1"/>
    <col min="13302" max="13302" width="6" style="5" customWidth="1"/>
    <col min="13303" max="13303" width="9" style="5" customWidth="1"/>
    <col min="13304" max="13304" width="9.3984375" style="5" customWidth="1"/>
    <col min="13305" max="13305" width="9.5" style="5" customWidth="1"/>
    <col min="13306" max="13306" width="8.69921875" style="5" customWidth="1"/>
    <col min="13307" max="13307" width="8.3984375" style="5" customWidth="1"/>
    <col min="13308" max="13308" width="10.5" style="5" customWidth="1"/>
    <col min="13309" max="13309" width="9.8984375" style="5" customWidth="1"/>
    <col min="13310" max="13310" width="8.69921875" style="5" customWidth="1"/>
    <col min="13311" max="13311" width="9" style="5" customWidth="1"/>
    <col min="13312" max="13312" width="8.5" style="5" customWidth="1"/>
    <col min="13313" max="13313" width="9" style="5" customWidth="1"/>
    <col min="13314" max="13315" width="8.09765625" style="5" customWidth="1"/>
    <col min="13316" max="13316" width="9.19921875" style="5" customWidth="1"/>
    <col min="13317" max="13317" width="7.69921875" style="5" customWidth="1"/>
    <col min="13318" max="13319" width="6.8984375" style="5" customWidth="1"/>
    <col min="13320" max="13320" width="11" style="5" customWidth="1"/>
    <col min="13321" max="13322" width="6.8984375" style="5" customWidth="1"/>
    <col min="13323" max="13323" width="15.5" style="5" customWidth="1"/>
    <col min="13324" max="13327" width="6.8984375" style="5" customWidth="1"/>
    <col min="13328" max="13551" width="9" style="5" customWidth="1"/>
    <col min="13552" max="13552" width="2.8984375" style="5" bestFit="1" customWidth="1"/>
    <col min="13553" max="13553" width="23" style="5"/>
    <col min="13554" max="13554" width="3.8984375" style="5" customWidth="1"/>
    <col min="13555" max="13555" width="23" style="5"/>
    <col min="13556" max="13556" width="6.8984375" style="5" customWidth="1"/>
    <col min="13557" max="13557" width="6.3984375" style="5" customWidth="1"/>
    <col min="13558" max="13558" width="6" style="5" customWidth="1"/>
    <col min="13559" max="13559" width="9" style="5" customWidth="1"/>
    <col min="13560" max="13560" width="9.3984375" style="5" customWidth="1"/>
    <col min="13561" max="13561" width="9.5" style="5" customWidth="1"/>
    <col min="13562" max="13562" width="8.69921875" style="5" customWidth="1"/>
    <col min="13563" max="13563" width="8.3984375" style="5" customWidth="1"/>
    <col min="13564" max="13564" width="10.5" style="5" customWidth="1"/>
    <col min="13565" max="13565" width="9.8984375" style="5" customWidth="1"/>
    <col min="13566" max="13566" width="8.69921875" style="5" customWidth="1"/>
    <col min="13567" max="13567" width="9" style="5" customWidth="1"/>
    <col min="13568" max="13568" width="8.5" style="5" customWidth="1"/>
    <col min="13569" max="13569" width="9" style="5" customWidth="1"/>
    <col min="13570" max="13571" width="8.09765625" style="5" customWidth="1"/>
    <col min="13572" max="13572" width="9.19921875" style="5" customWidth="1"/>
    <col min="13573" max="13573" width="7.69921875" style="5" customWidth="1"/>
    <col min="13574" max="13575" width="6.8984375" style="5" customWidth="1"/>
    <col min="13576" max="13576" width="11" style="5" customWidth="1"/>
    <col min="13577" max="13578" width="6.8984375" style="5" customWidth="1"/>
    <col min="13579" max="13579" width="15.5" style="5" customWidth="1"/>
    <col min="13580" max="13583" width="6.8984375" style="5" customWidth="1"/>
    <col min="13584" max="13807" width="9" style="5" customWidth="1"/>
    <col min="13808" max="13808" width="2.8984375" style="5" bestFit="1" customWidth="1"/>
    <col min="13809" max="13809" width="23" style="5"/>
    <col min="13810" max="13810" width="3.8984375" style="5" customWidth="1"/>
    <col min="13811" max="13811" width="23" style="5"/>
    <col min="13812" max="13812" width="6.8984375" style="5" customWidth="1"/>
    <col min="13813" max="13813" width="6.3984375" style="5" customWidth="1"/>
    <col min="13814" max="13814" width="6" style="5" customWidth="1"/>
    <col min="13815" max="13815" width="9" style="5" customWidth="1"/>
    <col min="13816" max="13816" width="9.3984375" style="5" customWidth="1"/>
    <col min="13817" max="13817" width="9.5" style="5" customWidth="1"/>
    <col min="13818" max="13818" width="8.69921875" style="5" customWidth="1"/>
    <col min="13819" max="13819" width="8.3984375" style="5" customWidth="1"/>
    <col min="13820" max="13820" width="10.5" style="5" customWidth="1"/>
    <col min="13821" max="13821" width="9.8984375" style="5" customWidth="1"/>
    <col min="13822" max="13822" width="8.69921875" style="5" customWidth="1"/>
    <col min="13823" max="13823" width="9" style="5" customWidth="1"/>
    <col min="13824" max="13824" width="8.5" style="5" customWidth="1"/>
    <col min="13825" max="13825" width="9" style="5" customWidth="1"/>
    <col min="13826" max="13827" width="8.09765625" style="5" customWidth="1"/>
    <col min="13828" max="13828" width="9.19921875" style="5" customWidth="1"/>
    <col min="13829" max="13829" width="7.69921875" style="5" customWidth="1"/>
    <col min="13830" max="13831" width="6.8984375" style="5" customWidth="1"/>
    <col min="13832" max="13832" width="11" style="5" customWidth="1"/>
    <col min="13833" max="13834" width="6.8984375" style="5" customWidth="1"/>
    <col min="13835" max="13835" width="15.5" style="5" customWidth="1"/>
    <col min="13836" max="13839" width="6.8984375" style="5" customWidth="1"/>
    <col min="13840" max="14063" width="9" style="5" customWidth="1"/>
    <col min="14064" max="14064" width="2.8984375" style="5" bestFit="1" customWidth="1"/>
    <col min="14065" max="14065" width="23" style="5"/>
    <col min="14066" max="14066" width="3.8984375" style="5" customWidth="1"/>
    <col min="14067" max="14067" width="23" style="5"/>
    <col min="14068" max="14068" width="6.8984375" style="5" customWidth="1"/>
    <col min="14069" max="14069" width="6.3984375" style="5" customWidth="1"/>
    <col min="14070" max="14070" width="6" style="5" customWidth="1"/>
    <col min="14071" max="14071" width="9" style="5" customWidth="1"/>
    <col min="14072" max="14072" width="9.3984375" style="5" customWidth="1"/>
    <col min="14073" max="14073" width="9.5" style="5" customWidth="1"/>
    <col min="14074" max="14074" width="8.69921875" style="5" customWidth="1"/>
    <col min="14075" max="14075" width="8.3984375" style="5" customWidth="1"/>
    <col min="14076" max="14076" width="10.5" style="5" customWidth="1"/>
    <col min="14077" max="14077" width="9.8984375" style="5" customWidth="1"/>
    <col min="14078" max="14078" width="8.69921875" style="5" customWidth="1"/>
    <col min="14079" max="14079" width="9" style="5" customWidth="1"/>
    <col min="14080" max="14080" width="8.5" style="5" customWidth="1"/>
    <col min="14081" max="14081" width="9" style="5" customWidth="1"/>
    <col min="14082" max="14083" width="8.09765625" style="5" customWidth="1"/>
    <col min="14084" max="14084" width="9.19921875" style="5" customWidth="1"/>
    <col min="14085" max="14085" width="7.69921875" style="5" customWidth="1"/>
    <col min="14086" max="14087" width="6.8984375" style="5" customWidth="1"/>
    <col min="14088" max="14088" width="11" style="5" customWidth="1"/>
    <col min="14089" max="14090" width="6.8984375" style="5" customWidth="1"/>
    <col min="14091" max="14091" width="15.5" style="5" customWidth="1"/>
    <col min="14092" max="14095" width="6.8984375" style="5" customWidth="1"/>
    <col min="14096" max="14319" width="9" style="5" customWidth="1"/>
    <col min="14320" max="14320" width="2.8984375" style="5" bestFit="1" customWidth="1"/>
    <col min="14321" max="14321" width="23" style="5"/>
    <col min="14322" max="14322" width="3.8984375" style="5" customWidth="1"/>
    <col min="14323" max="14323" width="23" style="5"/>
    <col min="14324" max="14324" width="6.8984375" style="5" customWidth="1"/>
    <col min="14325" max="14325" width="6.3984375" style="5" customWidth="1"/>
    <col min="14326" max="14326" width="6" style="5" customWidth="1"/>
    <col min="14327" max="14327" width="9" style="5" customWidth="1"/>
    <col min="14328" max="14328" width="9.3984375" style="5" customWidth="1"/>
    <col min="14329" max="14329" width="9.5" style="5" customWidth="1"/>
    <col min="14330" max="14330" width="8.69921875" style="5" customWidth="1"/>
    <col min="14331" max="14331" width="8.3984375" style="5" customWidth="1"/>
    <col min="14332" max="14332" width="10.5" style="5" customWidth="1"/>
    <col min="14333" max="14333" width="9.8984375" style="5" customWidth="1"/>
    <col min="14334" max="14334" width="8.69921875" style="5" customWidth="1"/>
    <col min="14335" max="14335" width="9" style="5" customWidth="1"/>
    <col min="14336" max="14336" width="8.5" style="5" customWidth="1"/>
    <col min="14337" max="14337" width="9" style="5" customWidth="1"/>
    <col min="14338" max="14339" width="8.09765625" style="5" customWidth="1"/>
    <col min="14340" max="14340" width="9.19921875" style="5" customWidth="1"/>
    <col min="14341" max="14341" width="7.69921875" style="5" customWidth="1"/>
    <col min="14342" max="14343" width="6.8984375" style="5" customWidth="1"/>
    <col min="14344" max="14344" width="11" style="5" customWidth="1"/>
    <col min="14345" max="14346" width="6.8984375" style="5" customWidth="1"/>
    <col min="14347" max="14347" width="15.5" style="5" customWidth="1"/>
    <col min="14348" max="14351" width="6.8984375" style="5" customWidth="1"/>
    <col min="14352" max="14575" width="9" style="5" customWidth="1"/>
    <col min="14576" max="14576" width="2.8984375" style="5" bestFit="1" customWidth="1"/>
    <col min="14577" max="14577" width="23" style="5"/>
    <col min="14578" max="14578" width="3.8984375" style="5" customWidth="1"/>
    <col min="14579" max="14579" width="23" style="5"/>
    <col min="14580" max="14580" width="6.8984375" style="5" customWidth="1"/>
    <col min="14581" max="14581" width="6.3984375" style="5" customWidth="1"/>
    <col min="14582" max="14582" width="6" style="5" customWidth="1"/>
    <col min="14583" max="14583" width="9" style="5" customWidth="1"/>
    <col min="14584" max="14584" width="9.3984375" style="5" customWidth="1"/>
    <col min="14585" max="14585" width="9.5" style="5" customWidth="1"/>
    <col min="14586" max="14586" width="8.69921875" style="5" customWidth="1"/>
    <col min="14587" max="14587" width="8.3984375" style="5" customWidth="1"/>
    <col min="14588" max="14588" width="10.5" style="5" customWidth="1"/>
    <col min="14589" max="14589" width="9.8984375" style="5" customWidth="1"/>
    <col min="14590" max="14590" width="8.69921875" style="5" customWidth="1"/>
    <col min="14591" max="14591" width="9" style="5" customWidth="1"/>
    <col min="14592" max="14592" width="8.5" style="5" customWidth="1"/>
    <col min="14593" max="14593" width="9" style="5" customWidth="1"/>
    <col min="14594" max="14595" width="8.09765625" style="5" customWidth="1"/>
    <col min="14596" max="14596" width="9.19921875" style="5" customWidth="1"/>
    <col min="14597" max="14597" width="7.69921875" style="5" customWidth="1"/>
    <col min="14598" max="14599" width="6.8984375" style="5" customWidth="1"/>
    <col min="14600" max="14600" width="11" style="5" customWidth="1"/>
    <col min="14601" max="14602" width="6.8984375" style="5" customWidth="1"/>
    <col min="14603" max="14603" width="15.5" style="5" customWidth="1"/>
    <col min="14604" max="14607" width="6.8984375" style="5" customWidth="1"/>
    <col min="14608" max="14831" width="9" style="5" customWidth="1"/>
    <col min="14832" max="14832" width="2.8984375" style="5" bestFit="1" customWidth="1"/>
    <col min="14833" max="14833" width="23" style="5"/>
    <col min="14834" max="14834" width="3.8984375" style="5" customWidth="1"/>
    <col min="14835" max="14835" width="23" style="5"/>
    <col min="14836" max="14836" width="6.8984375" style="5" customWidth="1"/>
    <col min="14837" max="14837" width="6.3984375" style="5" customWidth="1"/>
    <col min="14838" max="14838" width="6" style="5" customWidth="1"/>
    <col min="14839" max="14839" width="9" style="5" customWidth="1"/>
    <col min="14840" max="14840" width="9.3984375" style="5" customWidth="1"/>
    <col min="14841" max="14841" width="9.5" style="5" customWidth="1"/>
    <col min="14842" max="14842" width="8.69921875" style="5" customWidth="1"/>
    <col min="14843" max="14843" width="8.3984375" style="5" customWidth="1"/>
    <col min="14844" max="14844" width="10.5" style="5" customWidth="1"/>
    <col min="14845" max="14845" width="9.8984375" style="5" customWidth="1"/>
    <col min="14846" max="14846" width="8.69921875" style="5" customWidth="1"/>
    <col min="14847" max="14847" width="9" style="5" customWidth="1"/>
    <col min="14848" max="14848" width="8.5" style="5" customWidth="1"/>
    <col min="14849" max="14849" width="9" style="5" customWidth="1"/>
    <col min="14850" max="14851" width="8.09765625" style="5" customWidth="1"/>
    <col min="14852" max="14852" width="9.19921875" style="5" customWidth="1"/>
    <col min="14853" max="14853" width="7.69921875" style="5" customWidth="1"/>
    <col min="14854" max="14855" width="6.8984375" style="5" customWidth="1"/>
    <col min="14856" max="14856" width="11" style="5" customWidth="1"/>
    <col min="14857" max="14858" width="6.8984375" style="5" customWidth="1"/>
    <col min="14859" max="14859" width="15.5" style="5" customWidth="1"/>
    <col min="14860" max="14863" width="6.8984375" style="5" customWidth="1"/>
    <col min="14864" max="15087" width="9" style="5" customWidth="1"/>
    <col min="15088" max="15088" width="2.8984375" style="5" bestFit="1" customWidth="1"/>
    <col min="15089" max="15089" width="23" style="5"/>
    <col min="15090" max="15090" width="3.8984375" style="5" customWidth="1"/>
    <col min="15091" max="15091" width="23" style="5"/>
    <col min="15092" max="15092" width="6.8984375" style="5" customWidth="1"/>
    <col min="15093" max="15093" width="6.3984375" style="5" customWidth="1"/>
    <col min="15094" max="15094" width="6" style="5" customWidth="1"/>
    <col min="15095" max="15095" width="9" style="5" customWidth="1"/>
    <col min="15096" max="15096" width="9.3984375" style="5" customWidth="1"/>
    <col min="15097" max="15097" width="9.5" style="5" customWidth="1"/>
    <col min="15098" max="15098" width="8.69921875" style="5" customWidth="1"/>
    <col min="15099" max="15099" width="8.3984375" style="5" customWidth="1"/>
    <col min="15100" max="15100" width="10.5" style="5" customWidth="1"/>
    <col min="15101" max="15101" width="9.8984375" style="5" customWidth="1"/>
    <col min="15102" max="15102" width="8.69921875" style="5" customWidth="1"/>
    <col min="15103" max="15103" width="9" style="5" customWidth="1"/>
    <col min="15104" max="15104" width="8.5" style="5" customWidth="1"/>
    <col min="15105" max="15105" width="9" style="5" customWidth="1"/>
    <col min="15106" max="15107" width="8.09765625" style="5" customWidth="1"/>
    <col min="15108" max="15108" width="9.19921875" style="5" customWidth="1"/>
    <col min="15109" max="15109" width="7.69921875" style="5" customWidth="1"/>
    <col min="15110" max="15111" width="6.8984375" style="5" customWidth="1"/>
    <col min="15112" max="15112" width="11" style="5" customWidth="1"/>
    <col min="15113" max="15114" width="6.8984375" style="5" customWidth="1"/>
    <col min="15115" max="15115" width="15.5" style="5" customWidth="1"/>
    <col min="15116" max="15119" width="6.8984375" style="5" customWidth="1"/>
    <col min="15120" max="15343" width="9" style="5" customWidth="1"/>
    <col min="15344" max="15344" width="2.8984375" style="5" bestFit="1" customWidth="1"/>
    <col min="15345" max="15345" width="23" style="5"/>
    <col min="15346" max="15346" width="3.8984375" style="5" customWidth="1"/>
    <col min="15347" max="15347" width="23" style="5"/>
    <col min="15348" max="15348" width="6.8984375" style="5" customWidth="1"/>
    <col min="15349" max="15349" width="6.3984375" style="5" customWidth="1"/>
    <col min="15350" max="15350" width="6" style="5" customWidth="1"/>
    <col min="15351" max="15351" width="9" style="5" customWidth="1"/>
    <col min="15352" max="15352" width="9.3984375" style="5" customWidth="1"/>
    <col min="15353" max="15353" width="9.5" style="5" customWidth="1"/>
    <col min="15354" max="15354" width="8.69921875" style="5" customWidth="1"/>
    <col min="15355" max="15355" width="8.3984375" style="5" customWidth="1"/>
    <col min="15356" max="15356" width="10.5" style="5" customWidth="1"/>
    <col min="15357" max="15357" width="9.8984375" style="5" customWidth="1"/>
    <col min="15358" max="15358" width="8.69921875" style="5" customWidth="1"/>
    <col min="15359" max="15359" width="9" style="5" customWidth="1"/>
    <col min="15360" max="15360" width="8.5" style="5" customWidth="1"/>
    <col min="15361" max="15361" width="9" style="5" customWidth="1"/>
    <col min="15362" max="15363" width="8.09765625" style="5" customWidth="1"/>
    <col min="15364" max="15364" width="9.19921875" style="5" customWidth="1"/>
    <col min="15365" max="15365" width="7.69921875" style="5" customWidth="1"/>
    <col min="15366" max="15367" width="6.8984375" style="5" customWidth="1"/>
    <col min="15368" max="15368" width="11" style="5" customWidth="1"/>
    <col min="15369" max="15370" width="6.8984375" style="5" customWidth="1"/>
    <col min="15371" max="15371" width="15.5" style="5" customWidth="1"/>
    <col min="15372" max="15375" width="6.8984375" style="5" customWidth="1"/>
    <col min="15376" max="15599" width="9" style="5" customWidth="1"/>
    <col min="15600" max="15600" width="2.8984375" style="5" bestFit="1" customWidth="1"/>
    <col min="15601" max="15601" width="23" style="5"/>
    <col min="15602" max="15602" width="3.8984375" style="5" customWidth="1"/>
    <col min="15603" max="15603" width="23" style="5"/>
    <col min="15604" max="15604" width="6.8984375" style="5" customWidth="1"/>
    <col min="15605" max="15605" width="6.3984375" style="5" customWidth="1"/>
    <col min="15606" max="15606" width="6" style="5" customWidth="1"/>
    <col min="15607" max="15607" width="9" style="5" customWidth="1"/>
    <col min="15608" max="15608" width="9.3984375" style="5" customWidth="1"/>
    <col min="15609" max="15609" width="9.5" style="5" customWidth="1"/>
    <col min="15610" max="15610" width="8.69921875" style="5" customWidth="1"/>
    <col min="15611" max="15611" width="8.3984375" style="5" customWidth="1"/>
    <col min="15612" max="15612" width="10.5" style="5" customWidth="1"/>
    <col min="15613" max="15613" width="9.8984375" style="5" customWidth="1"/>
    <col min="15614" max="15614" width="8.69921875" style="5" customWidth="1"/>
    <col min="15615" max="15615" width="9" style="5" customWidth="1"/>
    <col min="15616" max="15616" width="8.5" style="5" customWidth="1"/>
    <col min="15617" max="15617" width="9" style="5" customWidth="1"/>
    <col min="15618" max="15619" width="8.09765625" style="5" customWidth="1"/>
    <col min="15620" max="15620" width="9.19921875" style="5" customWidth="1"/>
    <col min="15621" max="15621" width="7.69921875" style="5" customWidth="1"/>
    <col min="15622" max="15623" width="6.8984375" style="5" customWidth="1"/>
    <col min="15624" max="15624" width="11" style="5" customWidth="1"/>
    <col min="15625" max="15626" width="6.8984375" style="5" customWidth="1"/>
    <col min="15627" max="15627" width="15.5" style="5" customWidth="1"/>
    <col min="15628" max="15631" width="6.8984375" style="5" customWidth="1"/>
    <col min="15632" max="15855" width="9" style="5" customWidth="1"/>
    <col min="15856" max="15856" width="2.8984375" style="5" bestFit="1" customWidth="1"/>
    <col min="15857" max="15857" width="23" style="5"/>
    <col min="15858" max="15858" width="3.8984375" style="5" customWidth="1"/>
    <col min="15859" max="15859" width="23" style="5"/>
    <col min="15860" max="15860" width="6.8984375" style="5" customWidth="1"/>
    <col min="15861" max="15861" width="6.3984375" style="5" customWidth="1"/>
    <col min="15862" max="15862" width="6" style="5" customWidth="1"/>
    <col min="15863" max="15863" width="9" style="5" customWidth="1"/>
    <col min="15864" max="15864" width="9.3984375" style="5" customWidth="1"/>
    <col min="15865" max="15865" width="9.5" style="5" customWidth="1"/>
    <col min="15866" max="15866" width="8.69921875" style="5" customWidth="1"/>
    <col min="15867" max="15867" width="8.3984375" style="5" customWidth="1"/>
    <col min="15868" max="15868" width="10.5" style="5" customWidth="1"/>
    <col min="15869" max="15869" width="9.8984375" style="5" customWidth="1"/>
    <col min="15870" max="15870" width="8.69921875" style="5" customWidth="1"/>
    <col min="15871" max="15871" width="9" style="5" customWidth="1"/>
    <col min="15872" max="15872" width="8.5" style="5" customWidth="1"/>
    <col min="15873" max="15873" width="9" style="5" customWidth="1"/>
    <col min="15874" max="15875" width="8.09765625" style="5" customWidth="1"/>
    <col min="15876" max="15876" width="9.19921875" style="5" customWidth="1"/>
    <col min="15877" max="15877" width="7.69921875" style="5" customWidth="1"/>
    <col min="15878" max="15879" width="6.8984375" style="5" customWidth="1"/>
    <col min="15880" max="15880" width="11" style="5" customWidth="1"/>
    <col min="15881" max="15882" width="6.8984375" style="5" customWidth="1"/>
    <col min="15883" max="15883" width="15.5" style="5" customWidth="1"/>
    <col min="15884" max="15887" width="6.8984375" style="5" customWidth="1"/>
    <col min="15888" max="16111" width="9" style="5" customWidth="1"/>
    <col min="16112" max="16112" width="2.8984375" style="5" bestFit="1" customWidth="1"/>
    <col min="16113" max="16113" width="23" style="5"/>
    <col min="16114" max="16114" width="3.8984375" style="5" customWidth="1"/>
    <col min="16115" max="16115" width="23" style="5"/>
    <col min="16116" max="16116" width="6.8984375" style="5" customWidth="1"/>
    <col min="16117" max="16117" width="6.3984375" style="5" customWidth="1"/>
    <col min="16118" max="16118" width="6" style="5" customWidth="1"/>
    <col min="16119" max="16119" width="9" style="5" customWidth="1"/>
    <col min="16120" max="16120" width="9.3984375" style="5" customWidth="1"/>
    <col min="16121" max="16121" width="9.5" style="5" customWidth="1"/>
    <col min="16122" max="16122" width="8.69921875" style="5" customWidth="1"/>
    <col min="16123" max="16123" width="8.3984375" style="5" customWidth="1"/>
    <col min="16124" max="16124" width="10.5" style="5" customWidth="1"/>
    <col min="16125" max="16125" width="9.8984375" style="5" customWidth="1"/>
    <col min="16126" max="16126" width="8.69921875" style="5" customWidth="1"/>
    <col min="16127" max="16127" width="9" style="5" customWidth="1"/>
    <col min="16128" max="16128" width="8.5" style="5" customWidth="1"/>
    <col min="16129" max="16129" width="9" style="5" customWidth="1"/>
    <col min="16130" max="16131" width="8.09765625" style="5" customWidth="1"/>
    <col min="16132" max="16132" width="9.19921875" style="5" customWidth="1"/>
    <col min="16133" max="16133" width="7.69921875" style="5" customWidth="1"/>
    <col min="16134" max="16135" width="6.8984375" style="5" customWidth="1"/>
    <col min="16136" max="16136" width="11" style="5" customWidth="1"/>
    <col min="16137" max="16138" width="6.8984375" style="5" customWidth="1"/>
    <col min="16139" max="16139" width="15.5" style="5" customWidth="1"/>
    <col min="16140" max="16143" width="6.8984375" style="5" customWidth="1"/>
    <col min="16144" max="16384" width="9" style="5" customWidth="1"/>
  </cols>
  <sheetData>
    <row r="1" spans="1:247" ht="17.399999999999999" x14ac:dyDescent="0.3">
      <c r="A1" s="200" t="s">
        <v>0</v>
      </c>
      <c r="B1" s="200"/>
      <c r="C1" s="200"/>
      <c r="D1" s="200"/>
      <c r="E1" s="200"/>
      <c r="F1" s="1"/>
      <c r="G1" s="201" t="s">
        <v>1</v>
      </c>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165"/>
      <c r="AO1" s="165"/>
      <c r="AP1" s="166"/>
      <c r="AQ1" s="166"/>
      <c r="AR1" s="3"/>
      <c r="AS1" s="3"/>
      <c r="AT1" s="3"/>
      <c r="AU1" s="3"/>
      <c r="AV1" s="3"/>
      <c r="AW1" s="3"/>
      <c r="AX1" s="3"/>
      <c r="AY1" s="3"/>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row>
    <row r="2" spans="1:247" ht="17.399999999999999" x14ac:dyDescent="0.3">
      <c r="A2" s="200" t="s">
        <v>2</v>
      </c>
      <c r="B2" s="200"/>
      <c r="C2" s="200"/>
      <c r="D2" s="200"/>
      <c r="E2" s="200"/>
      <c r="F2" s="1"/>
      <c r="G2" s="2"/>
      <c r="H2" s="2"/>
      <c r="I2" s="2"/>
      <c r="J2" s="201" t="s">
        <v>3</v>
      </c>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165"/>
      <c r="AM2" s="165"/>
      <c r="AN2" s="165"/>
      <c r="AO2" s="165"/>
      <c r="AP2" s="166"/>
      <c r="AQ2" s="166"/>
      <c r="AR2" s="3"/>
      <c r="AS2" s="3"/>
      <c r="AT2" s="3"/>
      <c r="AU2" s="3"/>
      <c r="AV2" s="3"/>
      <c r="AW2" s="3"/>
      <c r="AX2" s="3"/>
      <c r="AY2" s="3"/>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row>
    <row r="3" spans="1:247" x14ac:dyDescent="0.3">
      <c r="AP3" s="166"/>
      <c r="AQ3" s="166"/>
      <c r="AR3" s="3"/>
      <c r="AS3" s="3"/>
      <c r="AT3" s="3"/>
      <c r="AU3" s="3"/>
      <c r="AV3" s="3"/>
      <c r="AW3" s="3"/>
      <c r="AX3" s="3"/>
      <c r="AY3" s="3"/>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row>
    <row r="4" spans="1:247" ht="39.75" customHeight="1" x14ac:dyDescent="0.3">
      <c r="A4" s="202" t="s">
        <v>4</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row>
    <row r="5" spans="1:247" x14ac:dyDescent="0.3">
      <c r="B5" s="11"/>
      <c r="C5" s="12"/>
      <c r="D5" s="12"/>
      <c r="E5" s="12"/>
      <c r="F5" s="12"/>
      <c r="G5" s="13"/>
      <c r="H5" s="13"/>
      <c r="I5" s="13"/>
      <c r="J5" s="13"/>
      <c r="K5" s="13"/>
      <c r="L5" s="13"/>
      <c r="M5" s="13"/>
      <c r="N5" s="13"/>
      <c r="O5" s="13"/>
      <c r="P5" s="13"/>
      <c r="Q5" s="13"/>
      <c r="R5" s="13"/>
      <c r="S5" s="13"/>
      <c r="T5" s="13"/>
      <c r="U5" s="13"/>
      <c r="V5" s="13"/>
      <c r="W5" s="13"/>
      <c r="X5" s="13"/>
      <c r="Y5" s="13"/>
      <c r="Z5" s="13"/>
      <c r="AA5" s="13"/>
      <c r="AB5" s="13"/>
      <c r="AC5" s="13"/>
      <c r="AD5" s="13"/>
      <c r="AE5" s="13"/>
      <c r="AF5" s="169"/>
      <c r="AG5" s="169"/>
      <c r="AH5" s="169"/>
      <c r="AI5" s="169"/>
      <c r="AJ5" s="169"/>
      <c r="AK5" s="169"/>
      <c r="AL5" s="169"/>
      <c r="AM5" s="169"/>
      <c r="AN5" s="169"/>
      <c r="AO5" s="169" t="s">
        <v>5</v>
      </c>
      <c r="AP5" s="166"/>
      <c r="AQ5" s="166"/>
      <c r="AR5" s="3"/>
      <c r="AS5" s="3"/>
      <c r="AT5" s="3"/>
      <c r="AU5" s="3"/>
      <c r="AV5" s="3"/>
      <c r="AW5" s="3"/>
      <c r="AX5" s="3"/>
      <c r="AY5" s="3"/>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row>
    <row r="6" spans="1:247" s="10" customFormat="1" ht="55.5" customHeight="1" x14ac:dyDescent="0.25">
      <c r="A6" s="198" t="s">
        <v>6</v>
      </c>
      <c r="B6" s="199" t="s">
        <v>7</v>
      </c>
      <c r="C6" s="199" t="s">
        <v>8</v>
      </c>
      <c r="D6" s="199" t="s">
        <v>9</v>
      </c>
      <c r="E6" s="199" t="s">
        <v>10</v>
      </c>
      <c r="F6" s="198" t="s">
        <v>11</v>
      </c>
      <c r="G6" s="198"/>
      <c r="H6" s="198"/>
      <c r="I6" s="198"/>
      <c r="J6" s="198"/>
      <c r="K6" s="205" t="s">
        <v>12</v>
      </c>
      <c r="L6" s="203" t="s">
        <v>13</v>
      </c>
      <c r="M6" s="203"/>
      <c r="N6" s="203"/>
      <c r="O6" s="203"/>
      <c r="P6" s="203" t="s">
        <v>14</v>
      </c>
      <c r="Q6" s="204"/>
      <c r="R6" s="204"/>
      <c r="S6" s="204"/>
      <c r="T6" s="203" t="s">
        <v>674</v>
      </c>
      <c r="U6" s="204" t="s">
        <v>15</v>
      </c>
      <c r="V6" s="204"/>
      <c r="W6" s="204"/>
      <c r="X6" s="204"/>
      <c r="Y6" s="204"/>
      <c r="Z6" s="204"/>
      <c r="AA6" s="204"/>
      <c r="AB6" s="203" t="s">
        <v>675</v>
      </c>
      <c r="AC6" s="204"/>
      <c r="AD6" s="204"/>
      <c r="AE6" s="204"/>
      <c r="AF6" s="208" t="s">
        <v>16</v>
      </c>
      <c r="AG6" s="208" t="s">
        <v>17</v>
      </c>
      <c r="AH6" s="214" t="s">
        <v>18</v>
      </c>
      <c r="AI6" s="215"/>
      <c r="AJ6" s="215"/>
      <c r="AK6" s="216"/>
      <c r="AL6" s="214" t="s">
        <v>19</v>
      </c>
      <c r="AM6" s="215"/>
      <c r="AN6" s="215"/>
      <c r="AO6" s="216"/>
      <c r="AP6" s="170"/>
      <c r="AQ6" s="170"/>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row>
    <row r="7" spans="1:247" s="10" customFormat="1" ht="18" customHeight="1" x14ac:dyDescent="0.25">
      <c r="A7" s="198"/>
      <c r="B7" s="198"/>
      <c r="C7" s="199"/>
      <c r="D7" s="199"/>
      <c r="E7" s="198"/>
      <c r="F7" s="199" t="s">
        <v>20</v>
      </c>
      <c r="G7" s="204" t="s">
        <v>21</v>
      </c>
      <c r="H7" s="204"/>
      <c r="I7" s="204"/>
      <c r="J7" s="204"/>
      <c r="K7" s="206"/>
      <c r="L7" s="203" t="s">
        <v>22</v>
      </c>
      <c r="M7" s="204" t="s">
        <v>23</v>
      </c>
      <c r="N7" s="204"/>
      <c r="O7" s="204"/>
      <c r="P7" s="203" t="s">
        <v>22</v>
      </c>
      <c r="Q7" s="204" t="s">
        <v>23</v>
      </c>
      <c r="R7" s="204"/>
      <c r="S7" s="204"/>
      <c r="T7" s="203"/>
      <c r="U7" s="203" t="s">
        <v>22</v>
      </c>
      <c r="V7" s="204" t="s">
        <v>23</v>
      </c>
      <c r="W7" s="204"/>
      <c r="X7" s="204"/>
      <c r="Y7" s="204"/>
      <c r="Z7" s="204"/>
      <c r="AA7" s="204"/>
      <c r="AB7" s="203" t="s">
        <v>22</v>
      </c>
      <c r="AC7" s="204" t="s">
        <v>23</v>
      </c>
      <c r="AD7" s="204"/>
      <c r="AE7" s="204"/>
      <c r="AF7" s="209"/>
      <c r="AG7" s="209"/>
      <c r="AH7" s="208" t="s">
        <v>22</v>
      </c>
      <c r="AI7" s="211" t="s">
        <v>23</v>
      </c>
      <c r="AJ7" s="212"/>
      <c r="AK7" s="213"/>
      <c r="AL7" s="208" t="s">
        <v>22</v>
      </c>
      <c r="AM7" s="211"/>
      <c r="AN7" s="212"/>
      <c r="AO7" s="213"/>
      <c r="AP7" s="170"/>
      <c r="AQ7" s="170"/>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row>
    <row r="8" spans="1:247" s="10" customFormat="1" ht="23.25" customHeight="1" x14ac:dyDescent="0.25">
      <c r="A8" s="198"/>
      <c r="B8" s="198"/>
      <c r="C8" s="199"/>
      <c r="D8" s="199"/>
      <c r="E8" s="198"/>
      <c r="F8" s="199"/>
      <c r="G8" s="203" t="s">
        <v>22</v>
      </c>
      <c r="H8" s="204"/>
      <c r="I8" s="204"/>
      <c r="J8" s="204"/>
      <c r="K8" s="206"/>
      <c r="L8" s="203"/>
      <c r="M8" s="203" t="s">
        <v>24</v>
      </c>
      <c r="N8" s="203" t="s">
        <v>25</v>
      </c>
      <c r="O8" s="203" t="s">
        <v>26</v>
      </c>
      <c r="P8" s="203"/>
      <c r="Q8" s="203" t="s">
        <v>24</v>
      </c>
      <c r="R8" s="203" t="s">
        <v>25</v>
      </c>
      <c r="S8" s="203" t="s">
        <v>26</v>
      </c>
      <c r="T8" s="203"/>
      <c r="U8" s="203"/>
      <c r="V8" s="203" t="s">
        <v>24</v>
      </c>
      <c r="W8" s="203"/>
      <c r="X8" s="203" t="s">
        <v>27</v>
      </c>
      <c r="Y8" s="203"/>
      <c r="Z8" s="203" t="s">
        <v>28</v>
      </c>
      <c r="AA8" s="203"/>
      <c r="AB8" s="203"/>
      <c r="AC8" s="203" t="s">
        <v>24</v>
      </c>
      <c r="AD8" s="203" t="s">
        <v>25</v>
      </c>
      <c r="AE8" s="203" t="s">
        <v>29</v>
      </c>
      <c r="AF8" s="209"/>
      <c r="AG8" s="209"/>
      <c r="AH8" s="209"/>
      <c r="AI8" s="208" t="s">
        <v>24</v>
      </c>
      <c r="AJ8" s="208" t="s">
        <v>25</v>
      </c>
      <c r="AK8" s="208" t="s">
        <v>26</v>
      </c>
      <c r="AL8" s="209"/>
      <c r="AM8" s="208" t="s">
        <v>24</v>
      </c>
      <c r="AN8" s="208" t="s">
        <v>25</v>
      </c>
      <c r="AO8" s="208" t="s">
        <v>29</v>
      </c>
      <c r="AP8" s="170"/>
      <c r="AQ8" s="170"/>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row>
    <row r="9" spans="1:247" s="10" customFormat="1" ht="90.75" customHeight="1" x14ac:dyDescent="0.25">
      <c r="A9" s="198"/>
      <c r="B9" s="198"/>
      <c r="C9" s="199"/>
      <c r="D9" s="199"/>
      <c r="E9" s="198"/>
      <c r="F9" s="199"/>
      <c r="G9" s="203"/>
      <c r="H9" s="15" t="s">
        <v>24</v>
      </c>
      <c r="I9" s="15" t="s">
        <v>25</v>
      </c>
      <c r="J9" s="15" t="s">
        <v>29</v>
      </c>
      <c r="K9" s="207"/>
      <c r="L9" s="203"/>
      <c r="M9" s="203"/>
      <c r="N9" s="203"/>
      <c r="O9" s="203"/>
      <c r="P9" s="203"/>
      <c r="Q9" s="203"/>
      <c r="R9" s="203"/>
      <c r="S9" s="203"/>
      <c r="T9" s="203"/>
      <c r="U9" s="203"/>
      <c r="V9" s="15" t="s">
        <v>30</v>
      </c>
      <c r="W9" s="15" t="s">
        <v>31</v>
      </c>
      <c r="X9" s="15" t="s">
        <v>30</v>
      </c>
      <c r="Y9" s="15" t="s">
        <v>31</v>
      </c>
      <c r="Z9" s="15" t="s">
        <v>30</v>
      </c>
      <c r="AA9" s="15" t="s">
        <v>31</v>
      </c>
      <c r="AB9" s="203"/>
      <c r="AC9" s="203"/>
      <c r="AD9" s="203"/>
      <c r="AE9" s="203"/>
      <c r="AF9" s="210"/>
      <c r="AG9" s="210"/>
      <c r="AH9" s="210"/>
      <c r="AI9" s="210"/>
      <c r="AJ9" s="210"/>
      <c r="AK9" s="210"/>
      <c r="AL9" s="210"/>
      <c r="AM9" s="210"/>
      <c r="AN9" s="210"/>
      <c r="AO9" s="210"/>
      <c r="AP9" s="170"/>
      <c r="AQ9" s="170"/>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row>
    <row r="10" spans="1:247" s="10" customFormat="1" ht="29.25" customHeight="1" x14ac:dyDescent="0.25">
      <c r="A10" s="17">
        <v>1</v>
      </c>
      <c r="B10" s="17">
        <v>2</v>
      </c>
      <c r="C10" s="17">
        <v>3</v>
      </c>
      <c r="D10" s="17">
        <v>4</v>
      </c>
      <c r="E10" s="17">
        <v>5</v>
      </c>
      <c r="F10" s="17">
        <v>6</v>
      </c>
      <c r="G10" s="18">
        <v>7</v>
      </c>
      <c r="H10" s="18">
        <v>8</v>
      </c>
      <c r="I10" s="18">
        <v>9</v>
      </c>
      <c r="J10" s="18">
        <v>10</v>
      </c>
      <c r="K10" s="18">
        <v>11</v>
      </c>
      <c r="L10" s="18">
        <v>12</v>
      </c>
      <c r="M10" s="18">
        <v>13</v>
      </c>
      <c r="N10" s="18">
        <v>14</v>
      </c>
      <c r="O10" s="18">
        <v>15</v>
      </c>
      <c r="P10" s="18" t="s">
        <v>32</v>
      </c>
      <c r="Q10" s="18">
        <v>17</v>
      </c>
      <c r="R10" s="19">
        <v>18</v>
      </c>
      <c r="S10" s="19">
        <v>19</v>
      </c>
      <c r="T10" s="18">
        <v>20</v>
      </c>
      <c r="U10" s="18">
        <v>21</v>
      </c>
      <c r="V10" s="18">
        <v>22</v>
      </c>
      <c r="W10" s="18">
        <v>23</v>
      </c>
      <c r="X10" s="18">
        <v>24</v>
      </c>
      <c r="Y10" s="18">
        <v>25</v>
      </c>
      <c r="Z10" s="18">
        <v>26</v>
      </c>
      <c r="AA10" s="18">
        <v>27</v>
      </c>
      <c r="AB10" s="18" t="s">
        <v>33</v>
      </c>
      <c r="AC10" s="18">
        <v>29</v>
      </c>
      <c r="AD10" s="18">
        <v>30</v>
      </c>
      <c r="AE10" s="18">
        <v>31</v>
      </c>
      <c r="AF10" s="171">
        <v>32</v>
      </c>
      <c r="AG10" s="171">
        <v>33</v>
      </c>
      <c r="AH10" s="172" t="s">
        <v>34</v>
      </c>
      <c r="AI10" s="171" t="s">
        <v>35</v>
      </c>
      <c r="AJ10" s="171" t="s">
        <v>36</v>
      </c>
      <c r="AK10" s="171" t="s">
        <v>37</v>
      </c>
      <c r="AL10" s="171" t="s">
        <v>38</v>
      </c>
      <c r="AM10" s="172" t="s">
        <v>39</v>
      </c>
      <c r="AN10" s="171">
        <v>40</v>
      </c>
      <c r="AO10" s="171">
        <v>41</v>
      </c>
      <c r="AP10" s="170"/>
      <c r="AQ10" s="170"/>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row>
    <row r="11" spans="1:247" ht="18" customHeight="1" x14ac:dyDescent="0.3">
      <c r="A11" s="16"/>
      <c r="B11" s="20" t="s">
        <v>40</v>
      </c>
      <c r="C11" s="20"/>
      <c r="D11" s="20"/>
      <c r="E11" s="20"/>
      <c r="F11" s="20"/>
      <c r="G11" s="21">
        <f t="shared" ref="G11:AO11" si="0">ROUND(G12+G21+G39+G45+G73+G175+G198+G223+G234+G251+G276+G285+G302+G320+G336+G350+G362+G367,0)</f>
        <v>1103757</v>
      </c>
      <c r="H11" s="21">
        <f t="shared" si="0"/>
        <v>421914</v>
      </c>
      <c r="I11" s="21">
        <f t="shared" si="0"/>
        <v>536107</v>
      </c>
      <c r="J11" s="21">
        <f t="shared" si="0"/>
        <v>145736</v>
      </c>
      <c r="K11" s="21">
        <f t="shared" si="0"/>
        <v>712024</v>
      </c>
      <c r="L11" s="21">
        <f t="shared" si="0"/>
        <v>527327</v>
      </c>
      <c r="M11" s="21">
        <f t="shared" si="0"/>
        <v>310188</v>
      </c>
      <c r="N11" s="21">
        <f t="shared" si="0"/>
        <v>175763</v>
      </c>
      <c r="O11" s="21">
        <f t="shared" si="0"/>
        <v>41376</v>
      </c>
      <c r="P11" s="21">
        <f t="shared" si="0"/>
        <v>194502</v>
      </c>
      <c r="Q11" s="21">
        <f t="shared" si="0"/>
        <v>11826</v>
      </c>
      <c r="R11" s="21">
        <f t="shared" si="0"/>
        <v>134103</v>
      </c>
      <c r="S11" s="21">
        <f t="shared" si="0"/>
        <v>48573</v>
      </c>
      <c r="T11" s="21">
        <f t="shared" si="0"/>
        <v>68074</v>
      </c>
      <c r="U11" s="21">
        <f t="shared" si="0"/>
        <v>88679</v>
      </c>
      <c r="V11" s="21">
        <f t="shared" si="0"/>
        <v>3696</v>
      </c>
      <c r="W11" s="21">
        <f t="shared" si="0"/>
        <v>21180</v>
      </c>
      <c r="X11" s="21">
        <f t="shared" si="0"/>
        <v>32498</v>
      </c>
      <c r="Y11" s="21">
        <f t="shared" si="0"/>
        <v>22363</v>
      </c>
      <c r="Z11" s="21">
        <f t="shared" si="0"/>
        <v>5237</v>
      </c>
      <c r="AA11" s="21">
        <f t="shared" si="0"/>
        <v>3705</v>
      </c>
      <c r="AB11" s="21">
        <f t="shared" si="0"/>
        <v>187597</v>
      </c>
      <c r="AC11" s="21">
        <f t="shared" si="0"/>
        <v>9374</v>
      </c>
      <c r="AD11" s="21">
        <f t="shared" si="0"/>
        <v>128610</v>
      </c>
      <c r="AE11" s="21">
        <f t="shared" si="0"/>
        <v>49613</v>
      </c>
      <c r="AF11" s="173">
        <f t="shared" si="0"/>
        <v>295088</v>
      </c>
      <c r="AG11" s="173">
        <f t="shared" si="0"/>
        <v>492651</v>
      </c>
      <c r="AH11" s="173">
        <f t="shared" si="0"/>
        <v>616106</v>
      </c>
      <c r="AI11" s="173">
        <f t="shared" si="0"/>
        <v>335064</v>
      </c>
      <c r="AJ11" s="173">
        <f t="shared" si="0"/>
        <v>230724</v>
      </c>
      <c r="AK11" s="173">
        <f t="shared" si="0"/>
        <v>50318</v>
      </c>
      <c r="AL11" s="173">
        <f t="shared" si="0"/>
        <v>477091</v>
      </c>
      <c r="AM11" s="173">
        <f t="shared" si="0"/>
        <v>85590</v>
      </c>
      <c r="AN11" s="173">
        <f t="shared" si="0"/>
        <v>299878</v>
      </c>
      <c r="AO11" s="173">
        <f t="shared" si="0"/>
        <v>91624</v>
      </c>
      <c r="AP11" s="166"/>
      <c r="AQ11" s="166"/>
      <c r="AR11" s="3"/>
      <c r="AS11" s="3"/>
      <c r="AT11" s="3"/>
      <c r="AU11" s="3"/>
      <c r="AV11" s="3"/>
      <c r="AW11" s="3"/>
      <c r="AX11" s="3"/>
      <c r="AY11" s="3"/>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row>
    <row r="12" spans="1:247" ht="18" customHeight="1" x14ac:dyDescent="0.3">
      <c r="A12" s="16">
        <v>1</v>
      </c>
      <c r="B12" s="70" t="s">
        <v>41</v>
      </c>
      <c r="C12" s="20"/>
      <c r="D12" s="20"/>
      <c r="E12" s="20"/>
      <c r="F12" s="20"/>
      <c r="G12" s="21">
        <f>G13</f>
        <v>42507</v>
      </c>
      <c r="H12" s="21">
        <f t="shared" ref="H12:AO12" si="1">H13</f>
        <v>0</v>
      </c>
      <c r="I12" s="21">
        <f t="shared" si="1"/>
        <v>25000</v>
      </c>
      <c r="J12" s="21">
        <f t="shared" si="1"/>
        <v>17507</v>
      </c>
      <c r="K12" s="21">
        <f t="shared" si="1"/>
        <v>34791</v>
      </c>
      <c r="L12" s="21">
        <f t="shared" si="1"/>
        <v>12800</v>
      </c>
      <c r="M12" s="21">
        <f t="shared" si="1"/>
        <v>0</v>
      </c>
      <c r="N12" s="21">
        <f t="shared" si="1"/>
        <v>8120</v>
      </c>
      <c r="O12" s="21">
        <f t="shared" si="1"/>
        <v>4680</v>
      </c>
      <c r="P12" s="21">
        <f t="shared" si="1"/>
        <v>21991</v>
      </c>
      <c r="Q12" s="21">
        <f t="shared" si="1"/>
        <v>0</v>
      </c>
      <c r="R12" s="21">
        <f t="shared" si="1"/>
        <v>12743</v>
      </c>
      <c r="S12" s="21">
        <f t="shared" si="1"/>
        <v>9248</v>
      </c>
      <c r="T12" s="21">
        <f t="shared" si="1"/>
        <v>3716</v>
      </c>
      <c r="U12" s="21">
        <f t="shared" si="1"/>
        <v>3581</v>
      </c>
      <c r="V12" s="21">
        <f t="shared" si="1"/>
        <v>0</v>
      </c>
      <c r="W12" s="21">
        <f t="shared" si="1"/>
        <v>0</v>
      </c>
      <c r="X12" s="21">
        <f t="shared" si="1"/>
        <v>3581</v>
      </c>
      <c r="Y12" s="21">
        <f t="shared" si="1"/>
        <v>0</v>
      </c>
      <c r="Z12" s="21">
        <f t="shared" si="1"/>
        <v>0</v>
      </c>
      <c r="AA12" s="21">
        <f t="shared" si="1"/>
        <v>0</v>
      </c>
      <c r="AB12" s="21">
        <f t="shared" si="1"/>
        <v>22126</v>
      </c>
      <c r="AC12" s="21">
        <f t="shared" si="1"/>
        <v>0</v>
      </c>
      <c r="AD12" s="21">
        <f t="shared" si="1"/>
        <v>11699</v>
      </c>
      <c r="AE12" s="21">
        <f t="shared" si="1"/>
        <v>10427</v>
      </c>
      <c r="AF12" s="173">
        <f t="shared" si="1"/>
        <v>6000</v>
      </c>
      <c r="AG12" s="173">
        <f t="shared" si="1"/>
        <v>32507</v>
      </c>
      <c r="AH12" s="173">
        <f t="shared" si="1"/>
        <v>16381</v>
      </c>
      <c r="AI12" s="173">
        <f t="shared" si="1"/>
        <v>0</v>
      </c>
      <c r="AJ12" s="173">
        <f t="shared" si="1"/>
        <v>11701</v>
      </c>
      <c r="AK12" s="173">
        <f t="shared" si="1"/>
        <v>4680</v>
      </c>
      <c r="AL12" s="173">
        <f t="shared" si="1"/>
        <v>26126</v>
      </c>
      <c r="AM12" s="173">
        <f t="shared" si="1"/>
        <v>0</v>
      </c>
      <c r="AN12" s="173">
        <f t="shared" si="1"/>
        <v>13299</v>
      </c>
      <c r="AO12" s="173">
        <f t="shared" si="1"/>
        <v>12827</v>
      </c>
      <c r="AP12" s="166"/>
      <c r="AQ12" s="166"/>
      <c r="AR12" s="3"/>
      <c r="AS12" s="3"/>
      <c r="AT12" s="3"/>
      <c r="AU12" s="3"/>
      <c r="AV12" s="3"/>
      <c r="AW12" s="3"/>
      <c r="AX12" s="3"/>
      <c r="AY12" s="3"/>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row>
    <row r="13" spans="1:247" ht="21.75" customHeight="1" x14ac:dyDescent="0.3">
      <c r="A13" s="99" t="s">
        <v>42</v>
      </c>
      <c r="B13" s="100" t="s">
        <v>43</v>
      </c>
      <c r="C13" s="101"/>
      <c r="D13" s="102"/>
      <c r="E13" s="102"/>
      <c r="F13" s="103"/>
      <c r="G13" s="87">
        <f>ROUND(SUM(G14:G20),0)</f>
        <v>42507</v>
      </c>
      <c r="H13" s="87">
        <f t="shared" ref="H13:AO13" si="2">ROUND(SUM(H14:H20),0)</f>
        <v>0</v>
      </c>
      <c r="I13" s="87">
        <f t="shared" si="2"/>
        <v>25000</v>
      </c>
      <c r="J13" s="87">
        <f t="shared" si="2"/>
        <v>17507</v>
      </c>
      <c r="K13" s="87">
        <f t="shared" si="2"/>
        <v>34791</v>
      </c>
      <c r="L13" s="87">
        <f t="shared" si="2"/>
        <v>12800</v>
      </c>
      <c r="M13" s="87">
        <f t="shared" si="2"/>
        <v>0</v>
      </c>
      <c r="N13" s="87">
        <f t="shared" si="2"/>
        <v>8120</v>
      </c>
      <c r="O13" s="87">
        <f t="shared" si="2"/>
        <v>4680</v>
      </c>
      <c r="P13" s="87">
        <f t="shared" si="2"/>
        <v>21991</v>
      </c>
      <c r="Q13" s="87">
        <f t="shared" si="2"/>
        <v>0</v>
      </c>
      <c r="R13" s="87">
        <f t="shared" si="2"/>
        <v>12743</v>
      </c>
      <c r="S13" s="87">
        <f t="shared" si="2"/>
        <v>9248</v>
      </c>
      <c r="T13" s="87">
        <f t="shared" si="2"/>
        <v>3716</v>
      </c>
      <c r="U13" s="87">
        <f t="shared" si="2"/>
        <v>3581</v>
      </c>
      <c r="V13" s="87">
        <f t="shared" si="2"/>
        <v>0</v>
      </c>
      <c r="W13" s="87">
        <f t="shared" si="2"/>
        <v>0</v>
      </c>
      <c r="X13" s="87">
        <f t="shared" si="2"/>
        <v>3581</v>
      </c>
      <c r="Y13" s="87">
        <f t="shared" si="2"/>
        <v>0</v>
      </c>
      <c r="Z13" s="87">
        <f t="shared" si="2"/>
        <v>0</v>
      </c>
      <c r="AA13" s="87">
        <f t="shared" si="2"/>
        <v>0</v>
      </c>
      <c r="AB13" s="87">
        <f t="shared" si="2"/>
        <v>22126</v>
      </c>
      <c r="AC13" s="87">
        <f t="shared" si="2"/>
        <v>0</v>
      </c>
      <c r="AD13" s="87">
        <f t="shared" si="2"/>
        <v>11699</v>
      </c>
      <c r="AE13" s="87">
        <f t="shared" si="2"/>
        <v>10427</v>
      </c>
      <c r="AF13" s="174">
        <f t="shared" si="2"/>
        <v>6000</v>
      </c>
      <c r="AG13" s="174">
        <f t="shared" si="2"/>
        <v>32507</v>
      </c>
      <c r="AH13" s="174">
        <f t="shared" si="2"/>
        <v>16381</v>
      </c>
      <c r="AI13" s="174">
        <f t="shared" si="2"/>
        <v>0</v>
      </c>
      <c r="AJ13" s="174">
        <f t="shared" si="2"/>
        <v>11701</v>
      </c>
      <c r="AK13" s="174">
        <f t="shared" si="2"/>
        <v>4680</v>
      </c>
      <c r="AL13" s="174">
        <f t="shared" si="2"/>
        <v>26126</v>
      </c>
      <c r="AM13" s="174">
        <f t="shared" si="2"/>
        <v>0</v>
      </c>
      <c r="AN13" s="174">
        <f t="shared" si="2"/>
        <v>13299</v>
      </c>
      <c r="AO13" s="174">
        <f t="shared" si="2"/>
        <v>12827</v>
      </c>
      <c r="AP13" s="166"/>
      <c r="AQ13" s="166"/>
      <c r="AR13" s="3"/>
      <c r="AS13" s="3"/>
      <c r="AT13" s="3"/>
      <c r="AU13" s="3"/>
      <c r="AV13" s="3"/>
      <c r="AW13" s="3"/>
      <c r="AX13" s="3"/>
      <c r="AY13" s="3"/>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row>
    <row r="14" spans="1:247" ht="78" customHeight="1" x14ac:dyDescent="0.3">
      <c r="A14" s="16">
        <v>1</v>
      </c>
      <c r="B14" s="24" t="s">
        <v>44</v>
      </c>
      <c r="C14" s="25" t="s">
        <v>45</v>
      </c>
      <c r="D14" s="25">
        <v>2022</v>
      </c>
      <c r="E14" s="25">
        <v>2023</v>
      </c>
      <c r="F14" s="25" t="s">
        <v>46</v>
      </c>
      <c r="G14" s="104">
        <v>5500</v>
      </c>
      <c r="H14" s="104"/>
      <c r="I14" s="104">
        <v>3500</v>
      </c>
      <c r="J14" s="104">
        <v>2000</v>
      </c>
      <c r="K14" s="104">
        <v>5500</v>
      </c>
      <c r="L14" s="104">
        <f>M14+N14+O14</f>
        <v>2480</v>
      </c>
      <c r="M14" s="104">
        <v>0</v>
      </c>
      <c r="N14" s="104">
        <v>900</v>
      </c>
      <c r="O14" s="104">
        <v>1580</v>
      </c>
      <c r="P14" s="104">
        <f>K14-L14</f>
        <v>3020</v>
      </c>
      <c r="Q14" s="104">
        <v>0</v>
      </c>
      <c r="R14" s="104">
        <f>(K14*63.64%)-N14</f>
        <v>2600.1999999999998</v>
      </c>
      <c r="S14" s="104">
        <f>(K14*36.36%)-O14</f>
        <v>419.79999999999995</v>
      </c>
      <c r="T14" s="104">
        <v>0</v>
      </c>
      <c r="U14" s="105">
        <f>V14+W14+X14+Y14+Z14+AA14</f>
        <v>360</v>
      </c>
      <c r="V14" s="105">
        <v>0</v>
      </c>
      <c r="W14" s="105">
        <v>0</v>
      </c>
      <c r="X14" s="105">
        <v>360</v>
      </c>
      <c r="Y14" s="105">
        <v>0</v>
      </c>
      <c r="Z14" s="105">
        <v>0</v>
      </c>
      <c r="AA14" s="105">
        <v>0</v>
      </c>
      <c r="AB14" s="105">
        <f>(P14+T14)-U14</f>
        <v>2660</v>
      </c>
      <c r="AC14" s="105">
        <v>0</v>
      </c>
      <c r="AD14" s="105">
        <f>R14+(T14*63.64%)-(X14+Y14)</f>
        <v>2240.1999999999998</v>
      </c>
      <c r="AE14" s="105">
        <f>S14+(T14*36.36%)-(Z14+AA14)</f>
        <v>419.79999999999995</v>
      </c>
      <c r="AF14" s="175">
        <v>0</v>
      </c>
      <c r="AG14" s="175">
        <v>5500</v>
      </c>
      <c r="AH14" s="175">
        <f>L14+U14</f>
        <v>2840</v>
      </c>
      <c r="AI14" s="175">
        <v>0</v>
      </c>
      <c r="AJ14" s="175">
        <f>N14+X14+Y14</f>
        <v>1260</v>
      </c>
      <c r="AK14" s="175">
        <f>O14+Z14+AA14</f>
        <v>1580</v>
      </c>
      <c r="AL14" s="175">
        <f>AG14-AH14</f>
        <v>2660</v>
      </c>
      <c r="AM14" s="175">
        <v>0</v>
      </c>
      <c r="AN14" s="175">
        <f>(AG14*63.64%)-AJ14</f>
        <v>2240.1999999999998</v>
      </c>
      <c r="AO14" s="175">
        <f>(AG14*36.36%)-AK14</f>
        <v>419.79999999999995</v>
      </c>
      <c r="AP14" s="166"/>
      <c r="AQ14" s="166"/>
      <c r="AR14" s="3"/>
      <c r="AS14" s="3"/>
      <c r="AT14" s="3"/>
      <c r="AU14" s="3"/>
      <c r="AV14" s="3"/>
      <c r="AW14" s="3"/>
      <c r="AX14" s="3"/>
      <c r="AY14" s="3"/>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row>
    <row r="15" spans="1:247" ht="78" customHeight="1" x14ac:dyDescent="0.3">
      <c r="A15" s="16">
        <v>2</v>
      </c>
      <c r="B15" s="24" t="s">
        <v>47</v>
      </c>
      <c r="C15" s="25" t="s">
        <v>45</v>
      </c>
      <c r="D15" s="25">
        <v>2022</v>
      </c>
      <c r="E15" s="25">
        <v>2022</v>
      </c>
      <c r="F15" s="25" t="s">
        <v>48</v>
      </c>
      <c r="G15" s="104">
        <v>1700</v>
      </c>
      <c r="H15" s="104"/>
      <c r="I15" s="104">
        <v>1000</v>
      </c>
      <c r="J15" s="104">
        <v>700</v>
      </c>
      <c r="K15" s="104">
        <v>1700</v>
      </c>
      <c r="L15" s="104">
        <f>M15+N15+O15</f>
        <v>620</v>
      </c>
      <c r="M15" s="104">
        <v>0</v>
      </c>
      <c r="N15" s="104">
        <v>320</v>
      </c>
      <c r="O15" s="104">
        <v>300</v>
      </c>
      <c r="P15" s="104">
        <f>K15-L15</f>
        <v>1080</v>
      </c>
      <c r="Q15" s="104">
        <v>0</v>
      </c>
      <c r="R15" s="104">
        <f>(K15*58.823%)-N15</f>
        <v>679.9910000000001</v>
      </c>
      <c r="S15" s="104">
        <f>(K15*41.176%)-O15</f>
        <v>399.99200000000008</v>
      </c>
      <c r="T15" s="104">
        <v>0</v>
      </c>
      <c r="U15" s="105">
        <f>V15+W15+X15+Y15+Z15+AA15</f>
        <v>105</v>
      </c>
      <c r="V15" s="105">
        <v>0</v>
      </c>
      <c r="W15" s="105">
        <v>0</v>
      </c>
      <c r="X15" s="105">
        <v>105</v>
      </c>
      <c r="Y15" s="105">
        <v>0</v>
      </c>
      <c r="Z15" s="105">
        <v>0</v>
      </c>
      <c r="AA15" s="105">
        <v>0</v>
      </c>
      <c r="AB15" s="105">
        <f>(P15+T15)-U15</f>
        <v>975</v>
      </c>
      <c r="AC15" s="105">
        <v>0</v>
      </c>
      <c r="AD15" s="105">
        <f>R15+(T15*58.823%)-(X15+Y15)</f>
        <v>574.9910000000001</v>
      </c>
      <c r="AE15" s="105">
        <f>S15+(T15*41.176%)-(Z15+AA15)</f>
        <v>399.99200000000008</v>
      </c>
      <c r="AF15" s="175">
        <v>0</v>
      </c>
      <c r="AG15" s="175">
        <v>1700</v>
      </c>
      <c r="AH15" s="175">
        <f>L15+U15</f>
        <v>725</v>
      </c>
      <c r="AI15" s="175">
        <v>0</v>
      </c>
      <c r="AJ15" s="175">
        <f>N15+X15+Y15</f>
        <v>425</v>
      </c>
      <c r="AK15" s="175">
        <f>O15+Z15+AA15</f>
        <v>300</v>
      </c>
      <c r="AL15" s="175">
        <f>AG15-AH15</f>
        <v>975</v>
      </c>
      <c r="AM15" s="175">
        <v>0</v>
      </c>
      <c r="AN15" s="175">
        <f>(AG15*58.823%)-AJ15</f>
        <v>574.9910000000001</v>
      </c>
      <c r="AO15" s="175">
        <f>(AG15*41.176%)-AK15</f>
        <v>399.99200000000008</v>
      </c>
      <c r="AP15" s="166"/>
      <c r="AQ15" s="166"/>
      <c r="AR15" s="3"/>
      <c r="AS15" s="3"/>
      <c r="AT15" s="3"/>
      <c r="AU15" s="3"/>
      <c r="AV15" s="3"/>
      <c r="AW15" s="3"/>
      <c r="AX15" s="3"/>
      <c r="AY15" s="3"/>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row>
    <row r="16" spans="1:247" ht="78" customHeight="1" x14ac:dyDescent="0.3">
      <c r="A16" s="16">
        <v>3</v>
      </c>
      <c r="B16" s="24" t="s">
        <v>49</v>
      </c>
      <c r="C16" s="25" t="s">
        <v>45</v>
      </c>
      <c r="D16" s="25">
        <v>2022</v>
      </c>
      <c r="E16" s="25">
        <v>2023</v>
      </c>
      <c r="F16" s="25" t="s">
        <v>50</v>
      </c>
      <c r="G16" s="104">
        <v>11716</v>
      </c>
      <c r="H16" s="104"/>
      <c r="I16" s="104">
        <v>8000</v>
      </c>
      <c r="J16" s="104">
        <v>3716</v>
      </c>
      <c r="K16" s="104">
        <v>8000</v>
      </c>
      <c r="L16" s="104">
        <f>M16+N16+O16</f>
        <v>4000</v>
      </c>
      <c r="M16" s="104">
        <v>0</v>
      </c>
      <c r="N16" s="104">
        <v>3000</v>
      </c>
      <c r="O16" s="104">
        <v>1000</v>
      </c>
      <c r="P16" s="104">
        <f>K16-L16</f>
        <v>4000</v>
      </c>
      <c r="Q16" s="104">
        <v>0</v>
      </c>
      <c r="R16" s="104">
        <f>(K16*68.283%)-N16</f>
        <v>2462.6400000000003</v>
      </c>
      <c r="S16" s="104">
        <f>(K16*31.717%)-O16</f>
        <v>1537.3600000000001</v>
      </c>
      <c r="T16" s="104">
        <f>G16-I16</f>
        <v>3716</v>
      </c>
      <c r="U16" s="105">
        <f>V16+W16+X16+Y16+Z16+AA16</f>
        <v>1633</v>
      </c>
      <c r="V16" s="105">
        <v>0</v>
      </c>
      <c r="W16" s="105">
        <v>0</v>
      </c>
      <c r="X16" s="105">
        <v>1633</v>
      </c>
      <c r="Y16" s="105">
        <v>0</v>
      </c>
      <c r="Z16" s="105">
        <v>0</v>
      </c>
      <c r="AA16" s="105">
        <v>0</v>
      </c>
      <c r="AB16" s="105">
        <f>(P16+T16)-U16</f>
        <v>6083</v>
      </c>
      <c r="AC16" s="105">
        <v>0</v>
      </c>
      <c r="AD16" s="105">
        <f>R16+(T16*68.283%)-(X16+Y16)</f>
        <v>3367.0362800000003</v>
      </c>
      <c r="AE16" s="105">
        <f>S16+(T16*31.717%)-(Z16+AA16)</f>
        <v>2715.9637200000002</v>
      </c>
      <c r="AF16" s="175">
        <v>0</v>
      </c>
      <c r="AG16" s="175">
        <v>11716</v>
      </c>
      <c r="AH16" s="175">
        <f>L16+U16</f>
        <v>5633</v>
      </c>
      <c r="AI16" s="175">
        <v>0</v>
      </c>
      <c r="AJ16" s="175">
        <f>N16+X16+Y16</f>
        <v>4633</v>
      </c>
      <c r="AK16" s="175">
        <f>O16+Z16+AA16</f>
        <v>1000</v>
      </c>
      <c r="AL16" s="175">
        <f>AG16-AH16</f>
        <v>6083</v>
      </c>
      <c r="AM16" s="175">
        <v>0</v>
      </c>
      <c r="AN16" s="175">
        <f>(AG16*68.283%)-AJ16</f>
        <v>3367.0362800000003</v>
      </c>
      <c r="AO16" s="175">
        <f>(AG16*31.717%)-AK16</f>
        <v>2715.9637200000002</v>
      </c>
      <c r="AP16" s="166"/>
      <c r="AQ16" s="166"/>
      <c r="AR16" s="3"/>
      <c r="AS16" s="3"/>
      <c r="AT16" s="3"/>
      <c r="AU16" s="3"/>
      <c r="AV16" s="3"/>
      <c r="AW16" s="3"/>
      <c r="AX16" s="3"/>
      <c r="AY16" s="3"/>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row>
    <row r="17" spans="1:247" ht="78" customHeight="1" x14ac:dyDescent="0.3">
      <c r="A17" s="16">
        <v>4</v>
      </c>
      <c r="B17" s="24" t="s">
        <v>51</v>
      </c>
      <c r="C17" s="25" t="s">
        <v>45</v>
      </c>
      <c r="D17" s="25">
        <v>2022</v>
      </c>
      <c r="E17" s="25">
        <v>2023</v>
      </c>
      <c r="F17" s="25" t="s">
        <v>52</v>
      </c>
      <c r="G17" s="104">
        <v>10000</v>
      </c>
      <c r="H17" s="104"/>
      <c r="I17" s="104">
        <v>4000</v>
      </c>
      <c r="J17" s="104">
        <v>6000</v>
      </c>
      <c r="K17" s="104">
        <v>6000</v>
      </c>
      <c r="L17" s="104">
        <f>M17+N17+O17</f>
        <v>900</v>
      </c>
      <c r="M17" s="104">
        <v>0</v>
      </c>
      <c r="N17" s="104">
        <v>900</v>
      </c>
      <c r="O17" s="104">
        <v>0</v>
      </c>
      <c r="P17" s="104">
        <f>K17-L17</f>
        <v>5100</v>
      </c>
      <c r="Q17" s="104">
        <v>0</v>
      </c>
      <c r="R17" s="104">
        <f>(K17*40%)-N17</f>
        <v>1500</v>
      </c>
      <c r="S17" s="104">
        <f>(K17*60%)-O17</f>
        <v>3600</v>
      </c>
      <c r="T17" s="104">
        <v>0</v>
      </c>
      <c r="U17" s="105">
        <f>V17+W17+X17+Y17+Z17+AA17</f>
        <v>383</v>
      </c>
      <c r="V17" s="105">
        <v>0</v>
      </c>
      <c r="W17" s="105">
        <v>0</v>
      </c>
      <c r="X17" s="105">
        <v>383</v>
      </c>
      <c r="Y17" s="105">
        <v>0</v>
      </c>
      <c r="Z17" s="105">
        <v>0</v>
      </c>
      <c r="AA17" s="105">
        <v>0</v>
      </c>
      <c r="AB17" s="105">
        <f>(P17+T17)-U17</f>
        <v>4717</v>
      </c>
      <c r="AC17" s="105">
        <v>0</v>
      </c>
      <c r="AD17" s="105">
        <f>R17+(T17*40%)-(X17+Y17)</f>
        <v>1117</v>
      </c>
      <c r="AE17" s="105">
        <f>S17+(T17*60%)-(Z17+AA17)</f>
        <v>3600</v>
      </c>
      <c r="AF17" s="175">
        <v>6000</v>
      </c>
      <c r="AG17" s="175"/>
      <c r="AH17" s="175">
        <f>L17+U17</f>
        <v>1283</v>
      </c>
      <c r="AI17" s="175">
        <v>0</v>
      </c>
      <c r="AJ17" s="175">
        <f>N17+X17+Y17</f>
        <v>1283</v>
      </c>
      <c r="AK17" s="175">
        <f>O17+Z17+AA17</f>
        <v>0</v>
      </c>
      <c r="AL17" s="175">
        <f>G17-AH17</f>
        <v>8717</v>
      </c>
      <c r="AM17" s="175">
        <v>0</v>
      </c>
      <c r="AN17" s="175">
        <f>I17-AJ17</f>
        <v>2717</v>
      </c>
      <c r="AO17" s="175">
        <f>J17-AK17</f>
        <v>6000</v>
      </c>
      <c r="AP17" s="166"/>
      <c r="AQ17" s="166"/>
      <c r="AR17" s="3"/>
      <c r="AS17" s="3"/>
      <c r="AT17" s="3"/>
      <c r="AU17" s="3"/>
      <c r="AV17" s="3"/>
      <c r="AW17" s="3"/>
      <c r="AX17" s="3"/>
      <c r="AY17" s="3"/>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row>
    <row r="18" spans="1:247" ht="78" customHeight="1" x14ac:dyDescent="0.3">
      <c r="A18" s="16">
        <v>5</v>
      </c>
      <c r="B18" s="24" t="s">
        <v>53</v>
      </c>
      <c r="C18" s="25" t="s">
        <v>45</v>
      </c>
      <c r="D18" s="25">
        <v>2023</v>
      </c>
      <c r="E18" s="25">
        <v>2023</v>
      </c>
      <c r="F18" s="25" t="s">
        <v>54</v>
      </c>
      <c r="G18" s="104">
        <v>6491</v>
      </c>
      <c r="H18" s="104"/>
      <c r="I18" s="104">
        <v>4000</v>
      </c>
      <c r="J18" s="104">
        <v>2491</v>
      </c>
      <c r="K18" s="104">
        <v>6491</v>
      </c>
      <c r="L18" s="104">
        <f>M18+N18+O18</f>
        <v>2800</v>
      </c>
      <c r="M18" s="104">
        <v>0</v>
      </c>
      <c r="N18" s="104">
        <v>2000</v>
      </c>
      <c r="O18" s="104">
        <v>800</v>
      </c>
      <c r="P18" s="104">
        <f>K18-L18</f>
        <v>3691</v>
      </c>
      <c r="Q18" s="104">
        <v>0</v>
      </c>
      <c r="R18" s="104">
        <f>(K18*61.624%)-N18</f>
        <v>2000.0138400000001</v>
      </c>
      <c r="S18" s="104">
        <f>(K18*38.376%)-O18</f>
        <v>1690.9861599999999</v>
      </c>
      <c r="T18" s="104">
        <v>0</v>
      </c>
      <c r="U18" s="105">
        <f>X18</f>
        <v>1000</v>
      </c>
      <c r="V18" s="105">
        <v>0</v>
      </c>
      <c r="W18" s="105">
        <v>0</v>
      </c>
      <c r="X18" s="105">
        <v>1000</v>
      </c>
      <c r="Y18" s="105">
        <v>0</v>
      </c>
      <c r="Z18" s="105">
        <v>0</v>
      </c>
      <c r="AA18" s="105">
        <v>0</v>
      </c>
      <c r="AB18" s="105">
        <f t="shared" ref="AB18:AB20" si="3">(P18+T18)-U18</f>
        <v>2691</v>
      </c>
      <c r="AC18" s="105">
        <v>0</v>
      </c>
      <c r="AD18" s="105">
        <f>R18+(T18*61.624%)-(X18+Y18)</f>
        <v>1000.0138400000001</v>
      </c>
      <c r="AE18" s="105">
        <f>S18+(T18*38.376%)-(Z18+AA18)</f>
        <v>1690.9861599999999</v>
      </c>
      <c r="AF18" s="175">
        <v>0</v>
      </c>
      <c r="AG18" s="175">
        <v>6491</v>
      </c>
      <c r="AH18" s="175">
        <f t="shared" ref="AH18:AH20" si="4">L18+U18</f>
        <v>3800</v>
      </c>
      <c r="AI18" s="175">
        <v>0</v>
      </c>
      <c r="AJ18" s="175">
        <f t="shared" ref="AJ18:AJ20" si="5">N18+X18+Y18</f>
        <v>3000</v>
      </c>
      <c r="AK18" s="175">
        <f t="shared" ref="AK18:AK20" si="6">O18+Z18+AA18</f>
        <v>800</v>
      </c>
      <c r="AL18" s="175">
        <f t="shared" ref="AL18:AL20" si="7">AG18-AH18</f>
        <v>2691</v>
      </c>
      <c r="AM18" s="175">
        <v>0</v>
      </c>
      <c r="AN18" s="175">
        <f>(AG18*61.624%)-AJ18</f>
        <v>1000.0138400000001</v>
      </c>
      <c r="AO18" s="175">
        <f>(AG18*38.376%)-AK18</f>
        <v>1690.9861599999999</v>
      </c>
      <c r="AP18" s="166"/>
      <c r="AQ18" s="166"/>
      <c r="AR18" s="3"/>
      <c r="AS18" s="3"/>
      <c r="AT18" s="3"/>
      <c r="AU18" s="3"/>
      <c r="AV18" s="3"/>
      <c r="AW18" s="3"/>
      <c r="AX18" s="3"/>
      <c r="AY18" s="3"/>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row>
    <row r="19" spans="1:247" ht="78" customHeight="1" x14ac:dyDescent="0.3">
      <c r="A19" s="16">
        <v>6</v>
      </c>
      <c r="B19" s="24" t="s">
        <v>55</v>
      </c>
      <c r="C19" s="25" t="s">
        <v>45</v>
      </c>
      <c r="D19" s="25">
        <v>2023</v>
      </c>
      <c r="E19" s="25">
        <v>2023</v>
      </c>
      <c r="F19" s="25" t="s">
        <v>56</v>
      </c>
      <c r="G19" s="104">
        <v>2900</v>
      </c>
      <c r="H19" s="104"/>
      <c r="I19" s="104">
        <v>1500</v>
      </c>
      <c r="J19" s="104">
        <v>1400</v>
      </c>
      <c r="K19" s="104">
        <v>2900</v>
      </c>
      <c r="L19" s="104">
        <v>1000</v>
      </c>
      <c r="M19" s="104">
        <v>0</v>
      </c>
      <c r="N19" s="104">
        <v>500</v>
      </c>
      <c r="O19" s="104">
        <v>500</v>
      </c>
      <c r="P19" s="104">
        <f t="shared" ref="P19:P20" si="8">K19-L19</f>
        <v>1900</v>
      </c>
      <c r="Q19" s="104">
        <v>0</v>
      </c>
      <c r="R19" s="104">
        <f>(K19*51.724%)-N19</f>
        <v>999.99599999999987</v>
      </c>
      <c r="S19" s="104">
        <f>(K19*48.276%)-O19</f>
        <v>900.00400000000013</v>
      </c>
      <c r="T19" s="104">
        <v>0</v>
      </c>
      <c r="U19" s="105">
        <v>50</v>
      </c>
      <c r="V19" s="105">
        <v>0</v>
      </c>
      <c r="W19" s="105">
        <v>0</v>
      </c>
      <c r="X19" s="105">
        <v>50</v>
      </c>
      <c r="Y19" s="105">
        <v>0</v>
      </c>
      <c r="Z19" s="105">
        <v>0</v>
      </c>
      <c r="AA19" s="105">
        <v>0</v>
      </c>
      <c r="AB19" s="105">
        <f t="shared" si="3"/>
        <v>1850</v>
      </c>
      <c r="AC19" s="105">
        <v>0</v>
      </c>
      <c r="AD19" s="105">
        <f>R19+(T19*51.724%)-(X19+Y19)</f>
        <v>949.99599999999987</v>
      </c>
      <c r="AE19" s="105">
        <f>S19+(T19*48.276%)-(Z19+AA19)</f>
        <v>900.00400000000013</v>
      </c>
      <c r="AF19" s="175">
        <v>0</v>
      </c>
      <c r="AG19" s="175">
        <v>2900</v>
      </c>
      <c r="AH19" s="175">
        <f t="shared" si="4"/>
        <v>1050</v>
      </c>
      <c r="AI19" s="175">
        <v>0</v>
      </c>
      <c r="AJ19" s="175">
        <f t="shared" si="5"/>
        <v>550</v>
      </c>
      <c r="AK19" s="175">
        <f t="shared" si="6"/>
        <v>500</v>
      </c>
      <c r="AL19" s="175">
        <f t="shared" si="7"/>
        <v>1850</v>
      </c>
      <c r="AM19" s="175">
        <v>0</v>
      </c>
      <c r="AN19" s="175">
        <f>(AG19*51.724%)-AJ19</f>
        <v>949.99599999999987</v>
      </c>
      <c r="AO19" s="175">
        <f>(AG19*48.276%)-AK19</f>
        <v>900.00400000000013</v>
      </c>
      <c r="AP19" s="166"/>
      <c r="AQ19" s="166"/>
      <c r="AR19" s="3"/>
      <c r="AS19" s="3"/>
      <c r="AT19" s="3"/>
      <c r="AU19" s="3"/>
      <c r="AV19" s="3"/>
      <c r="AW19" s="3"/>
      <c r="AX19" s="3"/>
      <c r="AY19" s="3"/>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row>
    <row r="20" spans="1:247" ht="78" customHeight="1" x14ac:dyDescent="0.3">
      <c r="A20" s="16">
        <v>7</v>
      </c>
      <c r="B20" s="24" t="s">
        <v>57</v>
      </c>
      <c r="C20" s="25" t="s">
        <v>45</v>
      </c>
      <c r="D20" s="25">
        <v>2023</v>
      </c>
      <c r="E20" s="25">
        <v>2023</v>
      </c>
      <c r="F20" s="25" t="s">
        <v>56</v>
      </c>
      <c r="G20" s="104">
        <v>4200</v>
      </c>
      <c r="H20" s="104"/>
      <c r="I20" s="104">
        <v>3000</v>
      </c>
      <c r="J20" s="104">
        <v>1200</v>
      </c>
      <c r="K20" s="104">
        <v>4200</v>
      </c>
      <c r="L20" s="104">
        <v>1000</v>
      </c>
      <c r="M20" s="104">
        <v>0</v>
      </c>
      <c r="N20" s="104">
        <v>500</v>
      </c>
      <c r="O20" s="104">
        <v>500</v>
      </c>
      <c r="P20" s="104">
        <f t="shared" si="8"/>
        <v>3200</v>
      </c>
      <c r="Q20" s="104">
        <v>0</v>
      </c>
      <c r="R20" s="104">
        <f>(K20*71.429%)-N20</f>
        <v>2500.018</v>
      </c>
      <c r="S20" s="104">
        <f>(K20*28.571%)-O20</f>
        <v>699.98199999999997</v>
      </c>
      <c r="T20" s="104">
        <v>0</v>
      </c>
      <c r="U20" s="105">
        <v>50</v>
      </c>
      <c r="V20" s="105">
        <v>0</v>
      </c>
      <c r="W20" s="105">
        <v>0</v>
      </c>
      <c r="X20" s="105">
        <v>50</v>
      </c>
      <c r="Y20" s="105">
        <v>0</v>
      </c>
      <c r="Z20" s="105">
        <v>0</v>
      </c>
      <c r="AA20" s="105">
        <v>0</v>
      </c>
      <c r="AB20" s="105">
        <f t="shared" si="3"/>
        <v>3150</v>
      </c>
      <c r="AC20" s="105">
        <v>0</v>
      </c>
      <c r="AD20" s="105">
        <f>R20+(T20*71.429%)-(X20+Y20)</f>
        <v>2450.018</v>
      </c>
      <c r="AE20" s="105">
        <f>S20+(T20*28.571%)-(Z20+AA20)</f>
        <v>699.98199999999997</v>
      </c>
      <c r="AF20" s="175">
        <v>0</v>
      </c>
      <c r="AG20" s="175">
        <v>4200</v>
      </c>
      <c r="AH20" s="175">
        <f t="shared" si="4"/>
        <v>1050</v>
      </c>
      <c r="AI20" s="175">
        <v>0</v>
      </c>
      <c r="AJ20" s="175">
        <f t="shared" si="5"/>
        <v>550</v>
      </c>
      <c r="AK20" s="175">
        <f t="shared" si="6"/>
        <v>500</v>
      </c>
      <c r="AL20" s="175">
        <f t="shared" si="7"/>
        <v>3150</v>
      </c>
      <c r="AM20" s="175">
        <v>0</v>
      </c>
      <c r="AN20" s="175">
        <f>(AG20*71.429%)-AJ20</f>
        <v>2450.018</v>
      </c>
      <c r="AO20" s="175">
        <f>(AG20*28.571%)-AK20</f>
        <v>699.98199999999997</v>
      </c>
      <c r="AP20" s="166"/>
      <c r="AQ20" s="166"/>
      <c r="AR20" s="3"/>
      <c r="AS20" s="3"/>
      <c r="AT20" s="3"/>
      <c r="AU20" s="3"/>
      <c r="AV20" s="3"/>
      <c r="AW20" s="3"/>
      <c r="AX20" s="3"/>
      <c r="AY20" s="3"/>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row>
    <row r="21" spans="1:247" ht="18" customHeight="1" x14ac:dyDescent="0.3">
      <c r="A21" s="16">
        <v>2</v>
      </c>
      <c r="B21" s="70" t="s">
        <v>58</v>
      </c>
      <c r="C21" s="20"/>
      <c r="D21" s="20"/>
      <c r="E21" s="20"/>
      <c r="F21" s="20"/>
      <c r="G21" s="21">
        <f>G22+G28</f>
        <v>28166</v>
      </c>
      <c r="H21" s="21">
        <f t="shared" ref="H21:AO21" si="9">H22+H28</f>
        <v>0</v>
      </c>
      <c r="I21" s="21">
        <f t="shared" si="9"/>
        <v>17790</v>
      </c>
      <c r="J21" s="21">
        <f t="shared" si="9"/>
        <v>10376</v>
      </c>
      <c r="K21" s="21">
        <f t="shared" si="9"/>
        <v>22072</v>
      </c>
      <c r="L21" s="21">
        <f t="shared" si="9"/>
        <v>7302</v>
      </c>
      <c r="M21" s="21">
        <f t="shared" si="9"/>
        <v>0</v>
      </c>
      <c r="N21" s="21">
        <f t="shared" si="9"/>
        <v>6380</v>
      </c>
      <c r="O21" s="21">
        <f t="shared" si="9"/>
        <v>922</v>
      </c>
      <c r="P21" s="21">
        <f t="shared" si="9"/>
        <v>16070</v>
      </c>
      <c r="Q21" s="21">
        <f t="shared" si="9"/>
        <v>0</v>
      </c>
      <c r="R21" s="21">
        <f t="shared" si="9"/>
        <v>8910</v>
      </c>
      <c r="S21" s="21">
        <f t="shared" si="9"/>
        <v>7160</v>
      </c>
      <c r="T21" s="21">
        <f t="shared" si="9"/>
        <v>5776</v>
      </c>
      <c r="U21" s="21">
        <f t="shared" si="9"/>
        <v>4670</v>
      </c>
      <c r="V21" s="21">
        <f t="shared" si="9"/>
        <v>0</v>
      </c>
      <c r="W21" s="21">
        <f t="shared" si="9"/>
        <v>0</v>
      </c>
      <c r="X21" s="21">
        <f t="shared" si="9"/>
        <v>1178</v>
      </c>
      <c r="Y21" s="21">
        <f t="shared" si="9"/>
        <v>1200</v>
      </c>
      <c r="Z21" s="21">
        <f t="shared" si="9"/>
        <v>2292</v>
      </c>
      <c r="AA21" s="21">
        <f t="shared" si="9"/>
        <v>0</v>
      </c>
      <c r="AB21" s="21">
        <f t="shared" si="9"/>
        <v>15876</v>
      </c>
      <c r="AC21" s="21">
        <f t="shared" si="9"/>
        <v>0</v>
      </c>
      <c r="AD21" s="21">
        <f t="shared" si="9"/>
        <v>9032</v>
      </c>
      <c r="AE21" s="21">
        <f t="shared" si="9"/>
        <v>6844</v>
      </c>
      <c r="AF21" s="173">
        <f t="shared" si="9"/>
        <v>5776</v>
      </c>
      <c r="AG21" s="173">
        <f t="shared" si="9"/>
        <v>22072</v>
      </c>
      <c r="AH21" s="173">
        <f t="shared" si="9"/>
        <v>11972</v>
      </c>
      <c r="AI21" s="173">
        <f t="shared" si="9"/>
        <v>0</v>
      </c>
      <c r="AJ21" s="173">
        <f t="shared" si="9"/>
        <v>8758</v>
      </c>
      <c r="AK21" s="173">
        <f t="shared" si="9"/>
        <v>3214</v>
      </c>
      <c r="AL21" s="173">
        <f t="shared" si="9"/>
        <v>15876</v>
      </c>
      <c r="AM21" s="173">
        <f t="shared" si="9"/>
        <v>0</v>
      </c>
      <c r="AN21" s="173">
        <f t="shared" si="9"/>
        <v>9032</v>
      </c>
      <c r="AO21" s="173">
        <f t="shared" si="9"/>
        <v>6844</v>
      </c>
      <c r="AP21" s="166"/>
      <c r="AQ21" s="166"/>
      <c r="AR21" s="3"/>
      <c r="AS21" s="3"/>
      <c r="AT21" s="3"/>
      <c r="AU21" s="3"/>
      <c r="AV21" s="3"/>
      <c r="AW21" s="3"/>
      <c r="AX21" s="3"/>
      <c r="AY21" s="3"/>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row>
    <row r="22" spans="1:247" ht="25.2" customHeight="1" x14ac:dyDescent="0.3">
      <c r="A22" s="16" t="s">
        <v>42</v>
      </c>
      <c r="B22" s="74" t="s">
        <v>43</v>
      </c>
      <c r="C22" s="107"/>
      <c r="D22" s="20"/>
      <c r="E22" s="20"/>
      <c r="F22" s="20"/>
      <c r="G22" s="21">
        <f>ROUND(SUM(G23:G27),0)</f>
        <v>27066</v>
      </c>
      <c r="H22" s="21">
        <f t="shared" ref="H22:AO22" si="10">ROUND(SUM(H23:H27),0)</f>
        <v>0</v>
      </c>
      <c r="I22" s="21">
        <f t="shared" si="10"/>
        <v>17290</v>
      </c>
      <c r="J22" s="21">
        <f t="shared" si="10"/>
        <v>9776</v>
      </c>
      <c r="K22" s="21">
        <f t="shared" si="10"/>
        <v>20975</v>
      </c>
      <c r="L22" s="21">
        <f t="shared" si="10"/>
        <v>6450</v>
      </c>
      <c r="M22" s="21">
        <f t="shared" si="10"/>
        <v>0</v>
      </c>
      <c r="N22" s="21">
        <f t="shared" si="10"/>
        <v>6060</v>
      </c>
      <c r="O22" s="21">
        <f t="shared" si="10"/>
        <v>390</v>
      </c>
      <c r="P22" s="21">
        <f t="shared" si="10"/>
        <v>15825</v>
      </c>
      <c r="Q22" s="21">
        <f t="shared" si="10"/>
        <v>0</v>
      </c>
      <c r="R22" s="21">
        <f t="shared" si="10"/>
        <v>8730</v>
      </c>
      <c r="S22" s="21">
        <f t="shared" si="10"/>
        <v>7095</v>
      </c>
      <c r="T22" s="21">
        <f t="shared" si="10"/>
        <v>5776</v>
      </c>
      <c r="U22" s="21">
        <f t="shared" si="10"/>
        <v>4590</v>
      </c>
      <c r="V22" s="21">
        <f t="shared" si="10"/>
        <v>0</v>
      </c>
      <c r="W22" s="21">
        <f t="shared" si="10"/>
        <v>0</v>
      </c>
      <c r="X22" s="21">
        <f t="shared" si="10"/>
        <v>1098</v>
      </c>
      <c r="Y22" s="21">
        <f t="shared" si="10"/>
        <v>1200</v>
      </c>
      <c r="Z22" s="21">
        <f t="shared" si="10"/>
        <v>2292</v>
      </c>
      <c r="AA22" s="21">
        <f t="shared" si="10"/>
        <v>0</v>
      </c>
      <c r="AB22" s="21">
        <f t="shared" si="10"/>
        <v>15711</v>
      </c>
      <c r="AC22" s="21">
        <f t="shared" si="10"/>
        <v>0</v>
      </c>
      <c r="AD22" s="21">
        <f t="shared" si="10"/>
        <v>8932</v>
      </c>
      <c r="AE22" s="21">
        <f t="shared" si="10"/>
        <v>6779</v>
      </c>
      <c r="AF22" s="173">
        <f t="shared" si="10"/>
        <v>5776</v>
      </c>
      <c r="AG22" s="173">
        <f t="shared" si="10"/>
        <v>20975</v>
      </c>
      <c r="AH22" s="173">
        <f t="shared" si="10"/>
        <v>11040</v>
      </c>
      <c r="AI22" s="173">
        <f t="shared" si="10"/>
        <v>0</v>
      </c>
      <c r="AJ22" s="173">
        <f t="shared" si="10"/>
        <v>8358</v>
      </c>
      <c r="AK22" s="173">
        <f t="shared" si="10"/>
        <v>2682</v>
      </c>
      <c r="AL22" s="173">
        <f t="shared" si="10"/>
        <v>15711</v>
      </c>
      <c r="AM22" s="173">
        <f t="shared" si="10"/>
        <v>0</v>
      </c>
      <c r="AN22" s="173">
        <f t="shared" si="10"/>
        <v>8932</v>
      </c>
      <c r="AO22" s="173">
        <f t="shared" si="10"/>
        <v>6779</v>
      </c>
      <c r="AP22" s="166"/>
      <c r="AQ22" s="166"/>
      <c r="AR22" s="3"/>
      <c r="AS22" s="3"/>
      <c r="AT22" s="3"/>
      <c r="AU22" s="3"/>
      <c r="AV22" s="3"/>
      <c r="AW22" s="3"/>
      <c r="AX22" s="3"/>
      <c r="AY22" s="3"/>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row>
    <row r="23" spans="1:247" ht="78" customHeight="1" x14ac:dyDescent="0.3">
      <c r="A23" s="16">
        <v>1</v>
      </c>
      <c r="B23" s="24" t="s">
        <v>59</v>
      </c>
      <c r="C23" s="25" t="s">
        <v>60</v>
      </c>
      <c r="D23" s="25" t="s">
        <v>61</v>
      </c>
      <c r="E23" s="25">
        <v>2022</v>
      </c>
      <c r="F23" s="25" t="s">
        <v>62</v>
      </c>
      <c r="G23" s="104">
        <f>SUM(H23:J23)</f>
        <v>1300</v>
      </c>
      <c r="H23" s="104"/>
      <c r="I23" s="104">
        <v>1000</v>
      </c>
      <c r="J23" s="104">
        <v>300</v>
      </c>
      <c r="K23" s="104">
        <v>1154</v>
      </c>
      <c r="L23" s="104">
        <f t="shared" ref="L23:L27" si="11">M23+N23+O23</f>
        <v>760</v>
      </c>
      <c r="M23" s="104"/>
      <c r="N23" s="104">
        <v>760</v>
      </c>
      <c r="O23" s="104">
        <v>0</v>
      </c>
      <c r="P23" s="104">
        <f t="shared" ref="P23:P25" si="12">K23-L23</f>
        <v>394</v>
      </c>
      <c r="Q23" s="104"/>
      <c r="R23" s="104">
        <f>I23-N23</f>
        <v>240</v>
      </c>
      <c r="S23" s="104">
        <f>K23-I23</f>
        <v>154</v>
      </c>
      <c r="T23" s="104"/>
      <c r="U23" s="105">
        <f>SUM(V23:AA23)</f>
        <v>262</v>
      </c>
      <c r="V23" s="105"/>
      <c r="W23" s="105"/>
      <c r="X23" s="105">
        <v>108</v>
      </c>
      <c r="Y23" s="105"/>
      <c r="Z23" s="105">
        <v>154</v>
      </c>
      <c r="AA23" s="105"/>
      <c r="AB23" s="105">
        <f t="shared" ref="AB23:AB25" si="13">SUM(AC23:AE23)</f>
        <v>132</v>
      </c>
      <c r="AC23" s="105"/>
      <c r="AD23" s="105">
        <f>R23-X23</f>
        <v>132</v>
      </c>
      <c r="AE23" s="105"/>
      <c r="AF23" s="175"/>
      <c r="AG23" s="175">
        <f>K23</f>
        <v>1154</v>
      </c>
      <c r="AH23" s="175">
        <f>L23+U23</f>
        <v>1022</v>
      </c>
      <c r="AI23" s="175">
        <f>V23+M23+W23</f>
        <v>0</v>
      </c>
      <c r="AJ23" s="175">
        <f>Y23+X23+N23</f>
        <v>868</v>
      </c>
      <c r="AK23" s="175">
        <f>O23+Z23+AA23</f>
        <v>154</v>
      </c>
      <c r="AL23" s="175">
        <f>AG23-AH23</f>
        <v>132</v>
      </c>
      <c r="AM23" s="175"/>
      <c r="AN23" s="175">
        <f>I23-AJ23</f>
        <v>132</v>
      </c>
      <c r="AO23" s="175"/>
      <c r="AP23" s="166"/>
      <c r="AQ23" s="166"/>
      <c r="AR23" s="3"/>
      <c r="AS23" s="3"/>
      <c r="AT23" s="3"/>
      <c r="AU23" s="3"/>
      <c r="AV23" s="3"/>
      <c r="AW23" s="3"/>
      <c r="AX23" s="3"/>
      <c r="AY23" s="3"/>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row>
    <row r="24" spans="1:247" ht="78" customHeight="1" x14ac:dyDescent="0.3">
      <c r="A24" s="16">
        <v>2</v>
      </c>
      <c r="B24" s="24" t="s">
        <v>63</v>
      </c>
      <c r="C24" s="25" t="s">
        <v>60</v>
      </c>
      <c r="D24" s="25">
        <v>2022</v>
      </c>
      <c r="E24" s="25">
        <v>2023</v>
      </c>
      <c r="F24" s="25" t="s">
        <v>64</v>
      </c>
      <c r="G24" s="104">
        <f t="shared" ref="G24:G27" si="14">SUM(H24:J24)</f>
        <v>5000</v>
      </c>
      <c r="H24" s="104"/>
      <c r="I24" s="104">
        <v>3500</v>
      </c>
      <c r="J24" s="104">
        <v>1500</v>
      </c>
      <c r="K24" s="104">
        <v>4925</v>
      </c>
      <c r="L24" s="104">
        <f t="shared" si="11"/>
        <v>2990</v>
      </c>
      <c r="M24" s="104"/>
      <c r="N24" s="104">
        <v>2600</v>
      </c>
      <c r="O24" s="104">
        <v>390</v>
      </c>
      <c r="P24" s="104">
        <f t="shared" si="12"/>
        <v>1935</v>
      </c>
      <c r="Q24" s="104"/>
      <c r="R24" s="104">
        <f>I24-N24</f>
        <v>900</v>
      </c>
      <c r="S24" s="104">
        <f>K24-I24-O24</f>
        <v>1035</v>
      </c>
      <c r="T24" s="104"/>
      <c r="U24" s="105">
        <f>SUM(V24:AA24)</f>
        <v>805</v>
      </c>
      <c r="V24" s="105"/>
      <c r="W24" s="105"/>
      <c r="X24" s="105">
        <v>405</v>
      </c>
      <c r="Y24" s="105"/>
      <c r="Z24" s="105">
        <v>400</v>
      </c>
      <c r="AA24" s="105"/>
      <c r="AB24" s="105">
        <f t="shared" si="13"/>
        <v>1130</v>
      </c>
      <c r="AC24" s="105"/>
      <c r="AD24" s="105">
        <f>R24-X24</f>
        <v>495</v>
      </c>
      <c r="AE24" s="105">
        <f>S24-Z24</f>
        <v>635</v>
      </c>
      <c r="AF24" s="175"/>
      <c r="AG24" s="175">
        <f t="shared" ref="AG24:AG25" si="15">K24</f>
        <v>4925</v>
      </c>
      <c r="AH24" s="175">
        <f>L24+U24</f>
        <v>3795</v>
      </c>
      <c r="AI24" s="175">
        <f t="shared" ref="AI24:AI25" si="16">V24+M24+W24</f>
        <v>0</v>
      </c>
      <c r="AJ24" s="175">
        <f t="shared" ref="AJ24:AJ25" si="17">Y24+X24+N24</f>
        <v>3005</v>
      </c>
      <c r="AK24" s="175">
        <f t="shared" ref="AK24:AK25" si="18">O24+Z24+AA24</f>
        <v>790</v>
      </c>
      <c r="AL24" s="175">
        <f>AG24-AH24</f>
        <v>1130</v>
      </c>
      <c r="AM24" s="175"/>
      <c r="AN24" s="175">
        <f>I24-AJ24</f>
        <v>495</v>
      </c>
      <c r="AO24" s="175">
        <f>AG24-I24-AK24</f>
        <v>635</v>
      </c>
      <c r="AP24" s="166"/>
      <c r="AQ24" s="166"/>
      <c r="AR24" s="3"/>
      <c r="AS24" s="3"/>
      <c r="AT24" s="3"/>
      <c r="AU24" s="3"/>
      <c r="AV24" s="3"/>
      <c r="AW24" s="3"/>
      <c r="AX24" s="3"/>
      <c r="AY24" s="3"/>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row>
    <row r="25" spans="1:247" ht="78" customHeight="1" x14ac:dyDescent="0.3">
      <c r="A25" s="16">
        <v>3</v>
      </c>
      <c r="B25" s="24" t="s">
        <v>65</v>
      </c>
      <c r="C25" s="25" t="s">
        <v>60</v>
      </c>
      <c r="D25" s="25">
        <v>2022</v>
      </c>
      <c r="E25" s="25">
        <v>2024</v>
      </c>
      <c r="F25" s="25" t="s">
        <v>66</v>
      </c>
      <c r="G25" s="104">
        <f t="shared" si="14"/>
        <v>14990</v>
      </c>
      <c r="H25" s="104"/>
      <c r="I25" s="104">
        <v>8990</v>
      </c>
      <c r="J25" s="104">
        <v>6000</v>
      </c>
      <c r="K25" s="104">
        <v>14896</v>
      </c>
      <c r="L25" s="104">
        <f t="shared" si="11"/>
        <v>1400</v>
      </c>
      <c r="M25" s="104"/>
      <c r="N25" s="104">
        <v>1400</v>
      </c>
      <c r="O25" s="104">
        <v>0</v>
      </c>
      <c r="P25" s="104">
        <f t="shared" si="12"/>
        <v>13496</v>
      </c>
      <c r="Q25" s="104"/>
      <c r="R25" s="104">
        <f>I25-N25</f>
        <v>7590</v>
      </c>
      <c r="S25" s="104">
        <f>K25-I25</f>
        <v>5906</v>
      </c>
      <c r="T25" s="104"/>
      <c r="U25" s="105">
        <f t="shared" ref="U25:U26" si="19">SUM(V25:AA25)</f>
        <v>2323</v>
      </c>
      <c r="V25" s="105"/>
      <c r="W25" s="105"/>
      <c r="X25" s="105">
        <v>585</v>
      </c>
      <c r="Y25" s="105"/>
      <c r="Z25" s="105">
        <v>1738</v>
      </c>
      <c r="AA25" s="105"/>
      <c r="AB25" s="105">
        <f t="shared" si="13"/>
        <v>11173</v>
      </c>
      <c r="AC25" s="105"/>
      <c r="AD25" s="105">
        <f>R25-X25</f>
        <v>7005</v>
      </c>
      <c r="AE25" s="105">
        <f>S25-Z25</f>
        <v>4168</v>
      </c>
      <c r="AF25" s="175"/>
      <c r="AG25" s="175">
        <f t="shared" si="15"/>
        <v>14896</v>
      </c>
      <c r="AH25" s="175">
        <f t="shared" ref="AH25:AH27" si="20">L25+U25</f>
        <v>3723</v>
      </c>
      <c r="AI25" s="175">
        <f t="shared" si="16"/>
        <v>0</v>
      </c>
      <c r="AJ25" s="175">
        <f t="shared" si="17"/>
        <v>1985</v>
      </c>
      <c r="AK25" s="175">
        <f t="shared" si="18"/>
        <v>1738</v>
      </c>
      <c r="AL25" s="175">
        <f>AG25-AH25</f>
        <v>11173</v>
      </c>
      <c r="AM25" s="175"/>
      <c r="AN25" s="175">
        <f>I25-AJ25</f>
        <v>7005</v>
      </c>
      <c r="AO25" s="175">
        <f>AG25-I25-AK25</f>
        <v>4168</v>
      </c>
      <c r="AP25" s="166"/>
      <c r="AQ25" s="166"/>
      <c r="AR25" s="3"/>
      <c r="AS25" s="3"/>
      <c r="AT25" s="3"/>
      <c r="AU25" s="3"/>
      <c r="AV25" s="3"/>
      <c r="AW25" s="3"/>
      <c r="AX25" s="3"/>
      <c r="AY25" s="3"/>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row>
    <row r="26" spans="1:247" ht="78" customHeight="1" x14ac:dyDescent="0.3">
      <c r="A26" s="16">
        <v>4</v>
      </c>
      <c r="B26" s="24" t="s">
        <v>67</v>
      </c>
      <c r="C26" s="25" t="s">
        <v>60</v>
      </c>
      <c r="D26" s="25">
        <v>2023</v>
      </c>
      <c r="E26" s="25">
        <v>2025</v>
      </c>
      <c r="F26" s="25" t="s">
        <v>68</v>
      </c>
      <c r="G26" s="104">
        <f t="shared" si="14"/>
        <v>3000</v>
      </c>
      <c r="H26" s="104"/>
      <c r="I26" s="104">
        <v>1800</v>
      </c>
      <c r="J26" s="104">
        <v>1200</v>
      </c>
      <c r="K26" s="104"/>
      <c r="L26" s="104">
        <f t="shared" si="11"/>
        <v>700</v>
      </c>
      <c r="M26" s="104"/>
      <c r="N26" s="104">
        <v>700</v>
      </c>
      <c r="O26" s="104"/>
      <c r="P26" s="104"/>
      <c r="Q26" s="104"/>
      <c r="R26" s="104"/>
      <c r="S26" s="104"/>
      <c r="T26" s="104">
        <v>3000</v>
      </c>
      <c r="U26" s="105">
        <f t="shared" si="19"/>
        <v>500</v>
      </c>
      <c r="V26" s="105"/>
      <c r="W26" s="105"/>
      <c r="X26" s="105"/>
      <c r="Y26" s="105">
        <v>500</v>
      </c>
      <c r="Z26" s="105"/>
      <c r="AA26" s="105"/>
      <c r="AB26" s="105">
        <f>T26-U26-L26</f>
        <v>1800</v>
      </c>
      <c r="AC26" s="105"/>
      <c r="AD26" s="105">
        <f>I26-N26-Y26</f>
        <v>600</v>
      </c>
      <c r="AE26" s="105">
        <f>J26-AA26</f>
        <v>1200</v>
      </c>
      <c r="AF26" s="175">
        <v>3000</v>
      </c>
      <c r="AG26" s="175"/>
      <c r="AH26" s="175">
        <f t="shared" si="20"/>
        <v>1200</v>
      </c>
      <c r="AI26" s="175"/>
      <c r="AJ26" s="175">
        <v>1200</v>
      </c>
      <c r="AK26" s="175"/>
      <c r="AL26" s="175">
        <f>G26-AH26</f>
        <v>1800</v>
      </c>
      <c r="AM26" s="175"/>
      <c r="AN26" s="175">
        <f>I26-AJ26</f>
        <v>600</v>
      </c>
      <c r="AO26" s="175">
        <f>J26</f>
        <v>1200</v>
      </c>
      <c r="AP26" s="166"/>
      <c r="AQ26" s="166"/>
      <c r="AR26" s="3"/>
      <c r="AS26" s="3"/>
      <c r="AT26" s="3"/>
      <c r="AU26" s="3"/>
      <c r="AV26" s="3"/>
      <c r="AW26" s="3"/>
      <c r="AX26" s="3"/>
      <c r="AY26" s="3"/>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row>
    <row r="27" spans="1:247" ht="78" customHeight="1" x14ac:dyDescent="0.3">
      <c r="A27" s="16">
        <v>5</v>
      </c>
      <c r="B27" s="24" t="s">
        <v>69</v>
      </c>
      <c r="C27" s="25" t="s">
        <v>60</v>
      </c>
      <c r="D27" s="25">
        <v>2023</v>
      </c>
      <c r="E27" s="25">
        <v>2025</v>
      </c>
      <c r="F27" s="25" t="s">
        <v>70</v>
      </c>
      <c r="G27" s="104">
        <f t="shared" si="14"/>
        <v>2775.652</v>
      </c>
      <c r="H27" s="104"/>
      <c r="I27" s="104">
        <v>2000</v>
      </c>
      <c r="J27" s="104">
        <v>775.65200000000004</v>
      </c>
      <c r="K27" s="104"/>
      <c r="L27" s="104">
        <f t="shared" si="11"/>
        <v>600</v>
      </c>
      <c r="M27" s="104"/>
      <c r="N27" s="104">
        <v>600</v>
      </c>
      <c r="O27" s="104"/>
      <c r="P27" s="104"/>
      <c r="Q27" s="104"/>
      <c r="R27" s="104"/>
      <c r="S27" s="104"/>
      <c r="T27" s="104">
        <v>2776</v>
      </c>
      <c r="U27" s="105">
        <f>SUM(V27:AA27)</f>
        <v>700</v>
      </c>
      <c r="V27" s="105"/>
      <c r="W27" s="105"/>
      <c r="X27" s="105"/>
      <c r="Y27" s="105">
        <v>700</v>
      </c>
      <c r="Z27" s="105"/>
      <c r="AA27" s="105"/>
      <c r="AB27" s="105">
        <f>T27-U27-L27</f>
        <v>1476</v>
      </c>
      <c r="AC27" s="105"/>
      <c r="AD27" s="105">
        <f>I27-N27-Y27</f>
        <v>700</v>
      </c>
      <c r="AE27" s="105">
        <f>J27-AA27</f>
        <v>775.65200000000004</v>
      </c>
      <c r="AF27" s="175">
        <v>2776</v>
      </c>
      <c r="AG27" s="175"/>
      <c r="AH27" s="175">
        <f t="shared" si="20"/>
        <v>1300</v>
      </c>
      <c r="AI27" s="175"/>
      <c r="AJ27" s="175">
        <v>1300</v>
      </c>
      <c r="AK27" s="175"/>
      <c r="AL27" s="175">
        <f>G27-AH27</f>
        <v>1475.652</v>
      </c>
      <c r="AM27" s="175"/>
      <c r="AN27" s="175">
        <f>I27-AJ27</f>
        <v>700</v>
      </c>
      <c r="AO27" s="175">
        <f>AL27-AN27</f>
        <v>775.65200000000004</v>
      </c>
      <c r="AP27" s="166"/>
      <c r="AQ27" s="166"/>
      <c r="AR27" s="3"/>
      <c r="AS27" s="3"/>
      <c r="AT27" s="3"/>
      <c r="AU27" s="3"/>
      <c r="AV27" s="3"/>
      <c r="AW27" s="3"/>
      <c r="AX27" s="3"/>
      <c r="AY27" s="3"/>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row>
    <row r="28" spans="1:247" ht="37.950000000000003" customHeight="1" x14ac:dyDescent="0.3">
      <c r="A28" s="16" t="s">
        <v>71</v>
      </c>
      <c r="B28" s="74" t="s">
        <v>72</v>
      </c>
      <c r="C28" s="107"/>
      <c r="D28" s="20"/>
      <c r="E28" s="20"/>
      <c r="F28" s="20"/>
      <c r="G28" s="21">
        <f>ROUND(G29,0)</f>
        <v>1100</v>
      </c>
      <c r="H28" s="21">
        <f t="shared" ref="H28:AO28" si="21">ROUND(H29,0)</f>
        <v>0</v>
      </c>
      <c r="I28" s="21">
        <f t="shared" si="21"/>
        <v>500</v>
      </c>
      <c r="J28" s="21">
        <f t="shared" si="21"/>
        <v>600</v>
      </c>
      <c r="K28" s="21">
        <f t="shared" si="21"/>
        <v>1097</v>
      </c>
      <c r="L28" s="21">
        <f t="shared" si="21"/>
        <v>852</v>
      </c>
      <c r="M28" s="21">
        <f t="shared" si="21"/>
        <v>0</v>
      </c>
      <c r="N28" s="21">
        <f t="shared" si="21"/>
        <v>320</v>
      </c>
      <c r="O28" s="21">
        <f t="shared" si="21"/>
        <v>532</v>
      </c>
      <c r="P28" s="21">
        <f t="shared" si="21"/>
        <v>245</v>
      </c>
      <c r="Q28" s="21">
        <f t="shared" si="21"/>
        <v>0</v>
      </c>
      <c r="R28" s="21">
        <f t="shared" si="21"/>
        <v>180</v>
      </c>
      <c r="S28" s="21">
        <f t="shared" si="21"/>
        <v>65</v>
      </c>
      <c r="T28" s="21">
        <f t="shared" si="21"/>
        <v>0</v>
      </c>
      <c r="U28" s="21">
        <f t="shared" si="21"/>
        <v>80</v>
      </c>
      <c r="V28" s="21">
        <f t="shared" si="21"/>
        <v>0</v>
      </c>
      <c r="W28" s="21">
        <f t="shared" si="21"/>
        <v>0</v>
      </c>
      <c r="X28" s="21">
        <f t="shared" si="21"/>
        <v>80</v>
      </c>
      <c r="Y28" s="21">
        <f t="shared" si="21"/>
        <v>0</v>
      </c>
      <c r="Z28" s="21">
        <f t="shared" si="21"/>
        <v>0</v>
      </c>
      <c r="AA28" s="21">
        <f t="shared" si="21"/>
        <v>0</v>
      </c>
      <c r="AB28" s="21">
        <f t="shared" si="21"/>
        <v>165</v>
      </c>
      <c r="AC28" s="21">
        <f t="shared" si="21"/>
        <v>0</v>
      </c>
      <c r="AD28" s="21">
        <f t="shared" si="21"/>
        <v>100</v>
      </c>
      <c r="AE28" s="21">
        <f t="shared" si="21"/>
        <v>65</v>
      </c>
      <c r="AF28" s="173">
        <f t="shared" si="21"/>
        <v>0</v>
      </c>
      <c r="AG28" s="173">
        <f t="shared" si="21"/>
        <v>1097</v>
      </c>
      <c r="AH28" s="173">
        <f t="shared" si="21"/>
        <v>932</v>
      </c>
      <c r="AI28" s="173">
        <f t="shared" si="21"/>
        <v>0</v>
      </c>
      <c r="AJ28" s="173">
        <f t="shared" si="21"/>
        <v>400</v>
      </c>
      <c r="AK28" s="173">
        <f t="shared" si="21"/>
        <v>532</v>
      </c>
      <c r="AL28" s="173">
        <f t="shared" si="21"/>
        <v>165</v>
      </c>
      <c r="AM28" s="173">
        <f t="shared" si="21"/>
        <v>0</v>
      </c>
      <c r="AN28" s="173">
        <f t="shared" si="21"/>
        <v>100</v>
      </c>
      <c r="AO28" s="173">
        <f t="shared" si="21"/>
        <v>65</v>
      </c>
      <c r="AP28" s="166"/>
      <c r="AQ28" s="166"/>
      <c r="AR28" s="3"/>
      <c r="AS28" s="3"/>
      <c r="AT28" s="3"/>
      <c r="AU28" s="3"/>
      <c r="AV28" s="3"/>
      <c r="AW28" s="3"/>
      <c r="AX28" s="3"/>
      <c r="AY28" s="3"/>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row>
    <row r="29" spans="1:247" ht="78" customHeight="1" x14ac:dyDescent="0.3">
      <c r="A29" s="16">
        <v>1</v>
      </c>
      <c r="B29" s="24" t="s">
        <v>73</v>
      </c>
      <c r="C29" s="25" t="s">
        <v>60</v>
      </c>
      <c r="D29" s="25">
        <v>2020</v>
      </c>
      <c r="E29" s="25">
        <v>2022</v>
      </c>
      <c r="F29" s="25" t="s">
        <v>74</v>
      </c>
      <c r="G29" s="104">
        <f t="shared" ref="G29:G35" si="22">SUM(H29:J29)</f>
        <v>1100</v>
      </c>
      <c r="H29" s="104"/>
      <c r="I29" s="104">
        <v>500</v>
      </c>
      <c r="J29" s="104">
        <v>600</v>
      </c>
      <c r="K29" s="104">
        <v>1097</v>
      </c>
      <c r="L29" s="104">
        <f>SUM(M29:O29)</f>
        <v>852</v>
      </c>
      <c r="M29" s="104"/>
      <c r="N29" s="104">
        <v>320</v>
      </c>
      <c r="O29" s="104">
        <v>532</v>
      </c>
      <c r="P29" s="104">
        <f>K29-L29</f>
        <v>245</v>
      </c>
      <c r="Q29" s="104"/>
      <c r="R29" s="104">
        <f>I29-N29</f>
        <v>180</v>
      </c>
      <c r="S29" s="104">
        <f>P29-R29</f>
        <v>65</v>
      </c>
      <c r="T29" s="104"/>
      <c r="U29" s="105">
        <f>SUM(V29:AA29)</f>
        <v>80</v>
      </c>
      <c r="V29" s="105"/>
      <c r="W29" s="105"/>
      <c r="X29" s="105">
        <v>80</v>
      </c>
      <c r="Y29" s="105"/>
      <c r="Z29" s="105"/>
      <c r="AA29" s="105"/>
      <c r="AB29" s="105">
        <f>P29+T29-U29</f>
        <v>165</v>
      </c>
      <c r="AC29" s="105"/>
      <c r="AD29" s="105">
        <f>R29-X29</f>
        <v>100</v>
      </c>
      <c r="AE29" s="105">
        <f>AB29-AD29</f>
        <v>65</v>
      </c>
      <c r="AF29" s="175"/>
      <c r="AG29" s="175">
        <f>K29</f>
        <v>1097</v>
      </c>
      <c r="AH29" s="175">
        <f>L29+U29</f>
        <v>932</v>
      </c>
      <c r="AI29" s="175">
        <f t="shared" ref="AI29" si="23">V29+M29+W29</f>
        <v>0</v>
      </c>
      <c r="AJ29" s="175">
        <f t="shared" ref="AJ29" si="24">Y29+X29+N29</f>
        <v>400</v>
      </c>
      <c r="AK29" s="175">
        <f t="shared" ref="AK29" si="25">O29+Z29+AA29</f>
        <v>532</v>
      </c>
      <c r="AL29" s="175">
        <f>AG29-AH29</f>
        <v>165</v>
      </c>
      <c r="AM29" s="175"/>
      <c r="AN29" s="175">
        <f>I29-AJ29</f>
        <v>100</v>
      </c>
      <c r="AO29" s="175">
        <f>AL29-AN29</f>
        <v>65</v>
      </c>
      <c r="AP29" s="166"/>
      <c r="AQ29" s="166"/>
      <c r="AR29" s="3"/>
      <c r="AS29" s="3"/>
      <c r="AT29" s="3"/>
      <c r="AU29" s="3"/>
      <c r="AV29" s="3"/>
      <c r="AW29" s="3"/>
      <c r="AX29" s="3"/>
      <c r="AY29" s="3"/>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row>
    <row r="30" spans="1:247" ht="74.25" hidden="1" customHeight="1" x14ac:dyDescent="0.3">
      <c r="A30" s="23">
        <v>8</v>
      </c>
      <c r="B30" s="24" t="s">
        <v>75</v>
      </c>
      <c r="C30" s="25" t="s">
        <v>60</v>
      </c>
      <c r="D30" s="25">
        <v>2021</v>
      </c>
      <c r="E30" s="25">
        <v>2022</v>
      </c>
      <c r="F30" s="25" t="s">
        <v>76</v>
      </c>
      <c r="G30" s="26">
        <f t="shared" si="22"/>
        <v>1500</v>
      </c>
      <c r="H30" s="27">
        <v>0</v>
      </c>
      <c r="I30" s="27">
        <v>200</v>
      </c>
      <c r="J30" s="27">
        <v>1300</v>
      </c>
      <c r="K30" s="28"/>
      <c r="L30" s="28"/>
      <c r="M30" s="28"/>
      <c r="N30" s="28"/>
      <c r="O30" s="28"/>
      <c r="P30" s="28"/>
      <c r="Q30" s="28"/>
      <c r="R30" s="28"/>
      <c r="S30" s="28"/>
      <c r="T30" s="26"/>
      <c r="U30" s="29"/>
      <c r="V30" s="29"/>
      <c r="W30" s="29"/>
      <c r="X30" s="29"/>
      <c r="Y30" s="29"/>
      <c r="Z30" s="29"/>
      <c r="AA30" s="29"/>
      <c r="AB30" s="29"/>
      <c r="AC30" s="29"/>
      <c r="AD30" s="29"/>
      <c r="AE30" s="29"/>
      <c r="AF30" s="176"/>
      <c r="AG30" s="176"/>
      <c r="AH30" s="177"/>
      <c r="AI30" s="177"/>
      <c r="AJ30" s="177"/>
      <c r="AK30" s="177"/>
      <c r="AL30" s="177"/>
      <c r="AM30" s="177"/>
      <c r="AN30" s="177"/>
      <c r="AO30" s="177"/>
      <c r="AP30" s="166"/>
      <c r="AQ30" s="166"/>
      <c r="AR30" s="3"/>
      <c r="AS30" s="3"/>
      <c r="AT30" s="3"/>
      <c r="AU30" s="3"/>
      <c r="AV30" s="3"/>
      <c r="AW30" s="3"/>
      <c r="AX30" s="3"/>
      <c r="AY30" s="3"/>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row>
    <row r="31" spans="1:247" ht="74.25" hidden="1" customHeight="1" x14ac:dyDescent="0.3">
      <c r="A31" s="23">
        <v>9</v>
      </c>
      <c r="B31" s="24" t="s">
        <v>77</v>
      </c>
      <c r="C31" s="25" t="s">
        <v>60</v>
      </c>
      <c r="D31" s="25">
        <v>2021</v>
      </c>
      <c r="E31" s="25">
        <v>2022</v>
      </c>
      <c r="F31" s="25" t="s">
        <v>78</v>
      </c>
      <c r="G31" s="26">
        <f t="shared" si="22"/>
        <v>2200</v>
      </c>
      <c r="H31" s="32"/>
      <c r="I31" s="32">
        <v>986</v>
      </c>
      <c r="J31" s="32">
        <f>2200-986</f>
        <v>1214</v>
      </c>
      <c r="K31" s="28"/>
      <c r="L31" s="28"/>
      <c r="M31" s="28"/>
      <c r="N31" s="28"/>
      <c r="O31" s="28"/>
      <c r="P31" s="28"/>
      <c r="Q31" s="28"/>
      <c r="R31" s="28"/>
      <c r="S31" s="28"/>
      <c r="T31" s="26"/>
      <c r="U31" s="29"/>
      <c r="V31" s="29"/>
      <c r="W31" s="29"/>
      <c r="X31" s="29"/>
      <c r="Y31" s="29"/>
      <c r="Z31" s="29"/>
      <c r="AA31" s="29"/>
      <c r="AB31" s="29"/>
      <c r="AC31" s="29"/>
      <c r="AD31" s="29"/>
      <c r="AE31" s="29"/>
      <c r="AF31" s="176"/>
      <c r="AG31" s="176"/>
      <c r="AH31" s="177"/>
      <c r="AI31" s="177"/>
      <c r="AJ31" s="177"/>
      <c r="AK31" s="177"/>
      <c r="AL31" s="177"/>
      <c r="AM31" s="177"/>
      <c r="AN31" s="177"/>
      <c r="AO31" s="177"/>
      <c r="AP31" s="166"/>
      <c r="AQ31" s="166"/>
      <c r="AR31" s="3"/>
      <c r="AS31" s="3"/>
      <c r="AT31" s="3"/>
      <c r="AU31" s="3"/>
      <c r="AV31" s="3"/>
      <c r="AW31" s="3"/>
      <c r="AX31" s="3"/>
      <c r="AY31" s="3"/>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row>
    <row r="32" spans="1:247" s="10" customFormat="1" ht="74.25" hidden="1" customHeight="1" x14ac:dyDescent="0.3">
      <c r="A32" s="23">
        <v>10</v>
      </c>
      <c r="B32" s="24" t="s">
        <v>79</v>
      </c>
      <c r="C32" s="25" t="s">
        <v>60</v>
      </c>
      <c r="D32" s="25">
        <v>2021</v>
      </c>
      <c r="E32" s="25">
        <v>2022</v>
      </c>
      <c r="F32" s="25" t="s">
        <v>80</v>
      </c>
      <c r="G32" s="26">
        <f t="shared" si="22"/>
        <v>924</v>
      </c>
      <c r="H32" s="33"/>
      <c r="I32" s="33">
        <v>200</v>
      </c>
      <c r="J32" s="33">
        <v>724</v>
      </c>
      <c r="K32" s="28"/>
      <c r="L32" s="28"/>
      <c r="M32" s="28"/>
      <c r="N32" s="28"/>
      <c r="O32" s="28"/>
      <c r="P32" s="28"/>
      <c r="Q32" s="28"/>
      <c r="R32" s="28"/>
      <c r="S32" s="28"/>
      <c r="T32" s="26"/>
      <c r="U32" s="34"/>
      <c r="V32" s="34"/>
      <c r="W32" s="34"/>
      <c r="X32" s="34"/>
      <c r="Y32" s="34"/>
      <c r="Z32" s="34"/>
      <c r="AA32" s="34"/>
      <c r="AB32" s="34"/>
      <c r="AC32" s="34"/>
      <c r="AD32" s="34"/>
      <c r="AE32" s="34"/>
      <c r="AF32" s="176"/>
      <c r="AG32" s="176"/>
      <c r="AH32" s="177"/>
      <c r="AI32" s="177"/>
      <c r="AJ32" s="177"/>
      <c r="AK32" s="177"/>
      <c r="AL32" s="177"/>
      <c r="AM32" s="177"/>
      <c r="AN32" s="177"/>
      <c r="AO32" s="177"/>
      <c r="AP32" s="166"/>
      <c r="AQ32" s="166"/>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row>
    <row r="33" spans="1:247" s="10" customFormat="1" ht="61.5" hidden="1" customHeight="1" x14ac:dyDescent="0.3">
      <c r="A33" s="23">
        <v>11</v>
      </c>
      <c r="B33" s="24" t="s">
        <v>81</v>
      </c>
      <c r="C33" s="25" t="s">
        <v>60</v>
      </c>
      <c r="D33" s="25">
        <v>2021</v>
      </c>
      <c r="E33" s="25">
        <v>2022</v>
      </c>
      <c r="F33" s="25" t="s">
        <v>82</v>
      </c>
      <c r="G33" s="26">
        <f t="shared" si="22"/>
        <v>834</v>
      </c>
      <c r="H33" s="33"/>
      <c r="I33" s="33"/>
      <c r="J33" s="33">
        <v>834</v>
      </c>
      <c r="K33" s="28"/>
      <c r="L33" s="28"/>
      <c r="M33" s="28"/>
      <c r="N33" s="28"/>
      <c r="O33" s="28"/>
      <c r="P33" s="28"/>
      <c r="Q33" s="28"/>
      <c r="R33" s="28"/>
      <c r="S33" s="28"/>
      <c r="T33" s="26"/>
      <c r="U33" s="34"/>
      <c r="V33" s="34"/>
      <c r="W33" s="34"/>
      <c r="X33" s="34"/>
      <c r="Y33" s="34"/>
      <c r="Z33" s="34"/>
      <c r="AA33" s="34"/>
      <c r="AB33" s="34"/>
      <c r="AC33" s="34"/>
      <c r="AD33" s="34"/>
      <c r="AE33" s="34"/>
      <c r="AF33" s="176"/>
      <c r="AG33" s="176"/>
      <c r="AH33" s="177"/>
      <c r="AI33" s="177"/>
      <c r="AJ33" s="177"/>
      <c r="AK33" s="177"/>
      <c r="AL33" s="177"/>
      <c r="AM33" s="177"/>
      <c r="AN33" s="177"/>
      <c r="AO33" s="177"/>
      <c r="AP33" s="166"/>
      <c r="AQ33" s="166"/>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row>
    <row r="34" spans="1:247" s="10" customFormat="1" ht="91.5" hidden="1" customHeight="1" x14ac:dyDescent="0.3">
      <c r="A34" s="23">
        <v>12</v>
      </c>
      <c r="B34" s="24" t="s">
        <v>83</v>
      </c>
      <c r="C34" s="25" t="s">
        <v>60</v>
      </c>
      <c r="D34" s="25">
        <v>2022</v>
      </c>
      <c r="E34" s="25">
        <v>2023</v>
      </c>
      <c r="F34" s="25" t="s">
        <v>84</v>
      </c>
      <c r="G34" s="26">
        <f t="shared" si="22"/>
        <v>2700</v>
      </c>
      <c r="H34" s="26"/>
      <c r="I34" s="26"/>
      <c r="J34" s="35">
        <v>2700</v>
      </c>
      <c r="K34" s="28"/>
      <c r="L34" s="28"/>
      <c r="M34" s="36"/>
      <c r="N34" s="37"/>
      <c r="O34" s="37"/>
      <c r="P34" s="28"/>
      <c r="Q34" s="37"/>
      <c r="R34" s="37"/>
      <c r="S34" s="37"/>
      <c r="T34" s="37"/>
      <c r="U34" s="38"/>
      <c r="V34" s="38"/>
      <c r="W34" s="38"/>
      <c r="X34" s="38"/>
      <c r="Y34" s="38"/>
      <c r="Z34" s="38"/>
      <c r="AA34" s="38"/>
      <c r="AB34" s="38"/>
      <c r="AC34" s="38"/>
      <c r="AD34" s="38"/>
      <c r="AE34" s="38"/>
      <c r="AF34" s="178"/>
      <c r="AG34" s="178"/>
      <c r="AH34" s="177"/>
      <c r="AI34" s="177"/>
      <c r="AJ34" s="177"/>
      <c r="AK34" s="177"/>
      <c r="AL34" s="177"/>
      <c r="AM34" s="177"/>
      <c r="AN34" s="177"/>
      <c r="AO34" s="177"/>
      <c r="AP34" s="166"/>
      <c r="AQ34" s="166"/>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row>
    <row r="35" spans="1:247" s="10" customFormat="1" ht="91.5" hidden="1" customHeight="1" x14ac:dyDescent="0.3">
      <c r="A35" s="23">
        <v>13</v>
      </c>
      <c r="B35" s="24" t="s">
        <v>85</v>
      </c>
      <c r="C35" s="25" t="s">
        <v>60</v>
      </c>
      <c r="D35" s="25">
        <v>2022</v>
      </c>
      <c r="E35" s="25">
        <v>2023</v>
      </c>
      <c r="F35" s="25" t="s">
        <v>86</v>
      </c>
      <c r="G35" s="26">
        <f t="shared" si="22"/>
        <v>850</v>
      </c>
      <c r="H35" s="26"/>
      <c r="I35" s="26"/>
      <c r="J35" s="35">
        <v>850</v>
      </c>
      <c r="K35" s="28"/>
      <c r="L35" s="28"/>
      <c r="M35" s="36"/>
      <c r="N35" s="37"/>
      <c r="O35" s="37"/>
      <c r="P35" s="28"/>
      <c r="Q35" s="37"/>
      <c r="R35" s="37"/>
      <c r="S35" s="37"/>
      <c r="T35" s="37"/>
      <c r="U35" s="38"/>
      <c r="V35" s="38"/>
      <c r="W35" s="38"/>
      <c r="X35" s="38"/>
      <c r="Y35" s="38"/>
      <c r="Z35" s="38"/>
      <c r="AA35" s="38"/>
      <c r="AB35" s="38"/>
      <c r="AC35" s="38"/>
      <c r="AD35" s="38"/>
      <c r="AE35" s="38"/>
      <c r="AF35" s="178"/>
      <c r="AG35" s="178"/>
      <c r="AH35" s="177"/>
      <c r="AI35" s="177"/>
      <c r="AJ35" s="177"/>
      <c r="AK35" s="177"/>
      <c r="AL35" s="177"/>
      <c r="AM35" s="177"/>
      <c r="AN35" s="177"/>
      <c r="AO35" s="177"/>
      <c r="AP35" s="166"/>
      <c r="AQ35" s="166"/>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row>
    <row r="36" spans="1:247" s="10" customFormat="1" ht="91.5" hidden="1" customHeight="1" x14ac:dyDescent="0.3">
      <c r="A36" s="23">
        <v>14</v>
      </c>
      <c r="B36" s="24" t="s">
        <v>87</v>
      </c>
      <c r="C36" s="25" t="s">
        <v>60</v>
      </c>
      <c r="D36" s="25">
        <v>2023</v>
      </c>
      <c r="E36" s="25">
        <v>2025</v>
      </c>
      <c r="F36" s="25" t="s">
        <v>88</v>
      </c>
      <c r="G36" s="26">
        <f>SUM(H36:J36)</f>
        <v>403</v>
      </c>
      <c r="H36" s="39"/>
      <c r="I36" s="28"/>
      <c r="J36" s="39">
        <v>403</v>
      </c>
      <c r="K36" s="28"/>
      <c r="L36" s="28"/>
      <c r="M36" s="36"/>
      <c r="N36" s="37"/>
      <c r="O36" s="37"/>
      <c r="P36" s="28"/>
      <c r="Q36" s="37"/>
      <c r="R36" s="37"/>
      <c r="S36" s="37"/>
      <c r="T36" s="37"/>
      <c r="U36" s="38"/>
      <c r="V36" s="38"/>
      <c r="W36" s="38"/>
      <c r="X36" s="38"/>
      <c r="Y36" s="38"/>
      <c r="Z36" s="38"/>
      <c r="AA36" s="38"/>
      <c r="AB36" s="38"/>
      <c r="AC36" s="38"/>
      <c r="AD36" s="38"/>
      <c r="AE36" s="38"/>
      <c r="AF36" s="178"/>
      <c r="AG36" s="178"/>
      <c r="AH36" s="177"/>
      <c r="AI36" s="177"/>
      <c r="AJ36" s="177"/>
      <c r="AK36" s="177"/>
      <c r="AL36" s="177"/>
      <c r="AM36" s="177"/>
      <c r="AN36" s="177"/>
      <c r="AO36" s="177"/>
      <c r="AP36" s="166"/>
      <c r="AQ36" s="166"/>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row>
    <row r="37" spans="1:247" s="10" customFormat="1" ht="91.5" hidden="1" customHeight="1" x14ac:dyDescent="0.3">
      <c r="A37" s="23">
        <v>15</v>
      </c>
      <c r="B37" s="24" t="s">
        <v>89</v>
      </c>
      <c r="C37" s="25" t="s">
        <v>60</v>
      </c>
      <c r="D37" s="25">
        <v>2023</v>
      </c>
      <c r="E37" s="25">
        <v>2025</v>
      </c>
      <c r="F37" s="25" t="s">
        <v>90</v>
      </c>
      <c r="G37" s="40">
        <v>500</v>
      </c>
      <c r="H37" s="36"/>
      <c r="I37" s="28"/>
      <c r="J37" s="36">
        <f>G37</f>
        <v>500</v>
      </c>
      <c r="K37" s="28"/>
      <c r="L37" s="28"/>
      <c r="M37" s="36"/>
      <c r="N37" s="37"/>
      <c r="O37" s="37"/>
      <c r="P37" s="28"/>
      <c r="Q37" s="37"/>
      <c r="R37" s="37"/>
      <c r="S37" s="37"/>
      <c r="T37" s="37"/>
      <c r="U37" s="38"/>
      <c r="V37" s="38"/>
      <c r="W37" s="38"/>
      <c r="X37" s="38"/>
      <c r="Y37" s="38"/>
      <c r="Z37" s="38"/>
      <c r="AA37" s="38"/>
      <c r="AB37" s="38"/>
      <c r="AC37" s="38"/>
      <c r="AD37" s="38"/>
      <c r="AE37" s="38"/>
      <c r="AF37" s="178"/>
      <c r="AG37" s="178"/>
      <c r="AH37" s="177"/>
      <c r="AI37" s="177"/>
      <c r="AJ37" s="177"/>
      <c r="AK37" s="177"/>
      <c r="AL37" s="177"/>
      <c r="AM37" s="177"/>
      <c r="AN37" s="177"/>
      <c r="AO37" s="177"/>
      <c r="AP37" s="166"/>
      <c r="AQ37" s="166"/>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row>
    <row r="38" spans="1:247" s="10" customFormat="1" ht="78" hidden="1" customHeight="1" x14ac:dyDescent="0.3">
      <c r="A38" s="23">
        <v>16</v>
      </c>
      <c r="B38" s="24" t="s">
        <v>91</v>
      </c>
      <c r="C38" s="25" t="s">
        <v>60</v>
      </c>
      <c r="D38" s="25">
        <v>2023</v>
      </c>
      <c r="E38" s="25">
        <v>2025</v>
      </c>
      <c r="F38" s="25" t="s">
        <v>92</v>
      </c>
      <c r="G38" s="40">
        <f>SUM(H38:J38)</f>
        <v>925</v>
      </c>
      <c r="H38" s="36"/>
      <c r="I38" s="28"/>
      <c r="J38" s="36">
        <v>925</v>
      </c>
      <c r="K38" s="28"/>
      <c r="L38" s="28"/>
      <c r="M38" s="36"/>
      <c r="N38" s="37"/>
      <c r="O38" s="37"/>
      <c r="P38" s="28"/>
      <c r="Q38" s="37"/>
      <c r="R38" s="37"/>
      <c r="S38" s="37"/>
      <c r="T38" s="37"/>
      <c r="U38" s="38"/>
      <c r="V38" s="38"/>
      <c r="W38" s="38"/>
      <c r="X38" s="38"/>
      <c r="Y38" s="38"/>
      <c r="Z38" s="38"/>
      <c r="AA38" s="38"/>
      <c r="AB38" s="38"/>
      <c r="AC38" s="38"/>
      <c r="AD38" s="38"/>
      <c r="AE38" s="38"/>
      <c r="AF38" s="178"/>
      <c r="AG38" s="178"/>
      <c r="AH38" s="177"/>
      <c r="AI38" s="177"/>
      <c r="AJ38" s="177"/>
      <c r="AK38" s="177"/>
      <c r="AL38" s="177"/>
      <c r="AM38" s="177"/>
      <c r="AN38" s="177"/>
      <c r="AO38" s="177"/>
      <c r="AP38" s="166"/>
      <c r="AQ38" s="166"/>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row>
    <row r="39" spans="1:247" ht="26.4" customHeight="1" x14ac:dyDescent="0.3">
      <c r="A39" s="41">
        <v>3</v>
      </c>
      <c r="B39" s="70" t="s">
        <v>93</v>
      </c>
      <c r="C39" s="108"/>
      <c r="D39" s="108"/>
      <c r="E39" s="108"/>
      <c r="F39" s="108"/>
      <c r="G39" s="109">
        <f>ROUND(SUM(G41:G44),0)</f>
        <v>39449</v>
      </c>
      <c r="H39" s="109">
        <f t="shared" ref="H39:AO39" si="26">ROUND(SUM(H41:H44),0)</f>
        <v>0</v>
      </c>
      <c r="I39" s="109">
        <f t="shared" si="26"/>
        <v>18600</v>
      </c>
      <c r="J39" s="109">
        <f t="shared" si="26"/>
        <v>20849</v>
      </c>
      <c r="K39" s="109">
        <f t="shared" si="26"/>
        <v>15421</v>
      </c>
      <c r="L39" s="109">
        <f t="shared" si="26"/>
        <v>9873</v>
      </c>
      <c r="M39" s="109">
        <f t="shared" si="26"/>
        <v>0</v>
      </c>
      <c r="N39" s="109">
        <f t="shared" si="26"/>
        <v>5700</v>
      </c>
      <c r="O39" s="109">
        <f t="shared" si="26"/>
        <v>4173</v>
      </c>
      <c r="P39" s="109">
        <f t="shared" si="26"/>
        <v>6648</v>
      </c>
      <c r="Q39" s="109">
        <f t="shared" si="26"/>
        <v>0</v>
      </c>
      <c r="R39" s="109">
        <f t="shared" si="26"/>
        <v>4400</v>
      </c>
      <c r="S39" s="109">
        <f t="shared" si="26"/>
        <v>2248</v>
      </c>
      <c r="T39" s="109">
        <f t="shared" si="26"/>
        <v>1589</v>
      </c>
      <c r="U39" s="109">
        <f t="shared" si="26"/>
        <v>1644</v>
      </c>
      <c r="V39" s="109">
        <f t="shared" si="26"/>
        <v>0</v>
      </c>
      <c r="W39" s="109">
        <f t="shared" si="26"/>
        <v>0</v>
      </c>
      <c r="X39" s="109">
        <f t="shared" si="26"/>
        <v>1188</v>
      </c>
      <c r="Y39" s="109">
        <f t="shared" si="26"/>
        <v>100</v>
      </c>
      <c r="Z39" s="109">
        <f t="shared" si="26"/>
        <v>284</v>
      </c>
      <c r="AA39" s="109">
        <f t="shared" si="26"/>
        <v>72</v>
      </c>
      <c r="AB39" s="109">
        <f t="shared" si="26"/>
        <v>5493</v>
      </c>
      <c r="AC39" s="109">
        <f t="shared" si="26"/>
        <v>0</v>
      </c>
      <c r="AD39" s="109">
        <f t="shared" si="26"/>
        <v>3212</v>
      </c>
      <c r="AE39" s="109">
        <f t="shared" si="26"/>
        <v>2281</v>
      </c>
      <c r="AF39" s="179">
        <f t="shared" si="26"/>
        <v>1589</v>
      </c>
      <c r="AG39" s="179">
        <f t="shared" si="26"/>
        <v>15421</v>
      </c>
      <c r="AH39" s="179">
        <f t="shared" si="26"/>
        <v>11517</v>
      </c>
      <c r="AI39" s="179">
        <f t="shared" si="26"/>
        <v>0</v>
      </c>
      <c r="AJ39" s="179">
        <f t="shared" si="26"/>
        <v>6988</v>
      </c>
      <c r="AK39" s="179">
        <f t="shared" si="26"/>
        <v>4529</v>
      </c>
      <c r="AL39" s="179">
        <f t="shared" si="26"/>
        <v>27904</v>
      </c>
      <c r="AM39" s="179">
        <f t="shared" si="26"/>
        <v>0</v>
      </c>
      <c r="AN39" s="179">
        <f t="shared" si="26"/>
        <v>11612</v>
      </c>
      <c r="AO39" s="179">
        <f t="shared" si="26"/>
        <v>16292</v>
      </c>
      <c r="AP39" s="166"/>
      <c r="AQ39" s="166"/>
      <c r="AR39" s="3"/>
      <c r="AS39" s="3"/>
      <c r="AT39" s="3"/>
      <c r="AU39" s="3"/>
      <c r="AV39" s="3"/>
      <c r="AW39" s="3"/>
      <c r="AX39" s="3"/>
      <c r="AY39" s="3"/>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row>
    <row r="40" spans="1:247" ht="27.6" hidden="1" customHeight="1" x14ac:dyDescent="0.3">
      <c r="A40" s="41" t="s">
        <v>94</v>
      </c>
      <c r="B40" s="43" t="s">
        <v>95</v>
      </c>
      <c r="C40" s="43"/>
      <c r="D40" s="108"/>
      <c r="E40" s="110"/>
      <c r="F40" s="110"/>
      <c r="G40" s="109" t="e">
        <f>#REF!+#REF!</f>
        <v>#REF!</v>
      </c>
      <c r="H40" s="109" t="e">
        <f>#REF!+#REF!</f>
        <v>#REF!</v>
      </c>
      <c r="I40" s="109" t="e">
        <f>#REF!+#REF!</f>
        <v>#REF!</v>
      </c>
      <c r="J40" s="109" t="e">
        <f>#REF!+#REF!</f>
        <v>#REF!</v>
      </c>
      <c r="K40" s="109"/>
      <c r="L40" s="109"/>
      <c r="M40" s="109"/>
      <c r="N40" s="109"/>
      <c r="O40" s="109"/>
      <c r="P40" s="109"/>
      <c r="Q40" s="109"/>
      <c r="R40" s="109"/>
      <c r="S40" s="109"/>
      <c r="T40" s="111"/>
      <c r="U40" s="112"/>
      <c r="V40" s="113"/>
      <c r="W40" s="30"/>
      <c r="X40" s="30"/>
      <c r="Y40" s="30"/>
      <c r="Z40" s="30"/>
      <c r="AA40" s="30"/>
      <c r="AB40" s="30"/>
      <c r="AC40" s="30"/>
      <c r="AD40" s="30"/>
      <c r="AE40" s="30"/>
      <c r="AF40" s="177"/>
      <c r="AG40" s="177"/>
      <c r="AH40" s="177"/>
      <c r="AI40" s="177"/>
      <c r="AJ40" s="177"/>
      <c r="AK40" s="177"/>
      <c r="AL40" s="177"/>
      <c r="AM40" s="177"/>
      <c r="AN40" s="177"/>
      <c r="AO40" s="177"/>
      <c r="AP40" s="166"/>
      <c r="AQ40" s="166"/>
      <c r="AR40" s="3"/>
      <c r="AS40" s="3"/>
      <c r="AT40" s="3"/>
      <c r="AU40" s="3"/>
      <c r="AV40" s="3"/>
      <c r="AW40" s="3"/>
      <c r="AX40" s="3"/>
      <c r="AY40" s="3"/>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row>
    <row r="41" spans="1:247" ht="94.5" customHeight="1" x14ac:dyDescent="0.3">
      <c r="A41" s="16">
        <v>1</v>
      </c>
      <c r="B41" s="24" t="s">
        <v>96</v>
      </c>
      <c r="C41" s="25" t="s">
        <v>97</v>
      </c>
      <c r="D41" s="25">
        <v>2021</v>
      </c>
      <c r="E41" s="25">
        <v>2022</v>
      </c>
      <c r="F41" s="25" t="s">
        <v>98</v>
      </c>
      <c r="G41" s="104">
        <f>I41+J41+H41</f>
        <v>9990</v>
      </c>
      <c r="H41" s="104"/>
      <c r="I41" s="104">
        <v>4000</v>
      </c>
      <c r="J41" s="104">
        <v>5990</v>
      </c>
      <c r="K41" s="104">
        <v>9962</v>
      </c>
      <c r="L41" s="104">
        <f>M41+N41+O41</f>
        <v>7273</v>
      </c>
      <c r="M41" s="104"/>
      <c r="N41" s="104">
        <v>3100</v>
      </c>
      <c r="O41" s="104">
        <v>4173</v>
      </c>
      <c r="P41" s="104">
        <f>K41-L41</f>
        <v>2689</v>
      </c>
      <c r="Q41" s="104"/>
      <c r="R41" s="104">
        <f>I41-N41</f>
        <v>900</v>
      </c>
      <c r="S41" s="104">
        <v>1789</v>
      </c>
      <c r="T41" s="104"/>
      <c r="U41" s="105">
        <f>SUM(V41:AA41)</f>
        <v>689</v>
      </c>
      <c r="V41" s="105"/>
      <c r="W41" s="105"/>
      <c r="X41" s="105">
        <v>405</v>
      </c>
      <c r="Y41" s="105"/>
      <c r="Z41" s="105">
        <v>284</v>
      </c>
      <c r="AA41" s="105"/>
      <c r="AB41" s="105">
        <f>P41+T41-U41</f>
        <v>2000</v>
      </c>
      <c r="AC41" s="105"/>
      <c r="AD41" s="105">
        <f>R41-X41</f>
        <v>495</v>
      </c>
      <c r="AE41" s="105">
        <f>S41-Z41</f>
        <v>1505</v>
      </c>
      <c r="AF41" s="175"/>
      <c r="AG41" s="175">
        <v>9962</v>
      </c>
      <c r="AH41" s="175">
        <f>L41+U41</f>
        <v>7962</v>
      </c>
      <c r="AI41" s="175"/>
      <c r="AJ41" s="175">
        <f>N41+X41+Y41</f>
        <v>3505</v>
      </c>
      <c r="AK41" s="175">
        <f>O41+Z41+AA41</f>
        <v>4457</v>
      </c>
      <c r="AL41" s="175">
        <f>AG41-AH41</f>
        <v>2000</v>
      </c>
      <c r="AM41" s="175"/>
      <c r="AN41" s="175">
        <v>495</v>
      </c>
      <c r="AO41" s="175">
        <v>1505</v>
      </c>
      <c r="AP41" s="166"/>
      <c r="AQ41" s="166"/>
      <c r="AR41" s="3"/>
      <c r="AS41" s="3"/>
      <c r="AT41" s="3"/>
      <c r="AU41" s="3"/>
      <c r="AV41" s="3"/>
      <c r="AW41" s="3"/>
      <c r="AX41" s="3"/>
      <c r="AY41" s="3"/>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row>
    <row r="42" spans="1:247" ht="78" customHeight="1" x14ac:dyDescent="0.3">
      <c r="A42" s="16">
        <v>2</v>
      </c>
      <c r="B42" s="24" t="s">
        <v>99</v>
      </c>
      <c r="C42" s="25" t="s">
        <v>97</v>
      </c>
      <c r="D42" s="25">
        <v>2022</v>
      </c>
      <c r="E42" s="25">
        <v>2023</v>
      </c>
      <c r="F42" s="25" t="s">
        <v>100</v>
      </c>
      <c r="G42" s="104">
        <f>I42+J42+H42</f>
        <v>5459</v>
      </c>
      <c r="H42" s="104"/>
      <c r="I42" s="104">
        <v>5000</v>
      </c>
      <c r="J42" s="104">
        <v>459</v>
      </c>
      <c r="K42" s="104">
        <v>5459</v>
      </c>
      <c r="L42" s="104">
        <f>M42+N42+O42</f>
        <v>1500</v>
      </c>
      <c r="M42" s="104"/>
      <c r="N42" s="104">
        <v>1500</v>
      </c>
      <c r="O42" s="104"/>
      <c r="P42" s="104">
        <f>K42-L42</f>
        <v>3959</v>
      </c>
      <c r="Q42" s="104"/>
      <c r="R42" s="104">
        <f>I42-N42</f>
        <v>3500</v>
      </c>
      <c r="S42" s="104">
        <f>J42-O42</f>
        <v>459</v>
      </c>
      <c r="T42" s="104"/>
      <c r="U42" s="105">
        <v>783</v>
      </c>
      <c r="V42" s="105"/>
      <c r="W42" s="105"/>
      <c r="X42" s="105">
        <v>783</v>
      </c>
      <c r="Y42" s="105"/>
      <c r="Z42" s="105"/>
      <c r="AA42" s="105"/>
      <c r="AB42" s="105">
        <f>P42+T42-U42</f>
        <v>3176</v>
      </c>
      <c r="AC42" s="105"/>
      <c r="AD42" s="105">
        <f>R42-X42</f>
        <v>2717</v>
      </c>
      <c r="AE42" s="105">
        <f>S42-Z42</f>
        <v>459</v>
      </c>
      <c r="AF42" s="175"/>
      <c r="AG42" s="175">
        <v>5459</v>
      </c>
      <c r="AH42" s="175">
        <f>L42+U42</f>
        <v>2283</v>
      </c>
      <c r="AI42" s="175"/>
      <c r="AJ42" s="175">
        <f>N42+X42+Y42</f>
        <v>2283</v>
      </c>
      <c r="AK42" s="175">
        <f>O42+Z42+AA42</f>
        <v>0</v>
      </c>
      <c r="AL42" s="175">
        <f>AG42-AH42</f>
        <v>3176</v>
      </c>
      <c r="AM42" s="175"/>
      <c r="AN42" s="175">
        <v>2717</v>
      </c>
      <c r="AO42" s="175">
        <v>459</v>
      </c>
      <c r="AP42" s="166"/>
      <c r="AQ42" s="166"/>
      <c r="AR42" s="3"/>
      <c r="AS42" s="3"/>
      <c r="AT42" s="3"/>
      <c r="AU42" s="3"/>
      <c r="AV42" s="3"/>
      <c r="AW42" s="3"/>
      <c r="AX42" s="3"/>
      <c r="AY42" s="3"/>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row>
    <row r="43" spans="1:247" ht="78" customHeight="1" x14ac:dyDescent="0.3">
      <c r="A43" s="16">
        <v>3</v>
      </c>
      <c r="B43" s="24" t="s">
        <v>101</v>
      </c>
      <c r="C43" s="25" t="s">
        <v>97</v>
      </c>
      <c r="D43" s="25">
        <v>2023</v>
      </c>
      <c r="E43" s="25">
        <v>2024</v>
      </c>
      <c r="F43" s="25" t="s">
        <v>102</v>
      </c>
      <c r="G43" s="104">
        <f>I43+J43+H43</f>
        <v>9000</v>
      </c>
      <c r="H43" s="104"/>
      <c r="I43" s="104">
        <v>3600</v>
      </c>
      <c r="J43" s="104">
        <v>5400</v>
      </c>
      <c r="K43" s="104"/>
      <c r="L43" s="104">
        <f>M43+N43+O43</f>
        <v>600</v>
      </c>
      <c r="M43" s="104"/>
      <c r="N43" s="104">
        <v>600</v>
      </c>
      <c r="O43" s="104"/>
      <c r="P43" s="104"/>
      <c r="Q43" s="104"/>
      <c r="R43" s="104"/>
      <c r="S43" s="104"/>
      <c r="T43" s="104">
        <v>1011</v>
      </c>
      <c r="U43" s="105">
        <f>V43+W43+X43+Y43+Z43+AA43</f>
        <v>122</v>
      </c>
      <c r="V43" s="105"/>
      <c r="W43" s="105"/>
      <c r="X43" s="105"/>
      <c r="Y43" s="105">
        <v>50</v>
      </c>
      <c r="Z43" s="105"/>
      <c r="AA43" s="105">
        <v>72</v>
      </c>
      <c r="AB43" s="105">
        <f>P43+T43-U43-L43</f>
        <v>289</v>
      </c>
      <c r="AC43" s="105"/>
      <c r="AD43" s="105">
        <v>0</v>
      </c>
      <c r="AE43" s="105">
        <v>289</v>
      </c>
      <c r="AF43" s="175">
        <v>1011</v>
      </c>
      <c r="AG43" s="175"/>
      <c r="AH43" s="175">
        <f>AI43+AJ43+AK43</f>
        <v>722</v>
      </c>
      <c r="AI43" s="175"/>
      <c r="AJ43" s="175">
        <f>N43+X43+Y43</f>
        <v>650</v>
      </c>
      <c r="AK43" s="175">
        <f>O43+Z43+AA43</f>
        <v>72</v>
      </c>
      <c r="AL43" s="175">
        <f>G43-AH43</f>
        <v>8278</v>
      </c>
      <c r="AM43" s="175"/>
      <c r="AN43" s="175">
        <f>I43-AJ43</f>
        <v>2950</v>
      </c>
      <c r="AO43" s="175">
        <f>J43-AK43</f>
        <v>5328</v>
      </c>
      <c r="AP43" s="166"/>
      <c r="AQ43" s="166"/>
      <c r="AR43" s="3"/>
      <c r="AS43" s="3"/>
      <c r="AT43" s="3"/>
      <c r="AU43" s="3"/>
      <c r="AV43" s="3"/>
      <c r="AW43" s="3"/>
      <c r="AX43" s="3"/>
      <c r="AY43" s="3"/>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row>
    <row r="44" spans="1:247" ht="78" customHeight="1" x14ac:dyDescent="0.3">
      <c r="A44" s="16">
        <v>4</v>
      </c>
      <c r="B44" s="24" t="s">
        <v>103</v>
      </c>
      <c r="C44" s="25" t="s">
        <v>97</v>
      </c>
      <c r="D44" s="25">
        <v>2024</v>
      </c>
      <c r="E44" s="25">
        <v>2024</v>
      </c>
      <c r="F44" s="25" t="s">
        <v>104</v>
      </c>
      <c r="G44" s="104">
        <f>I44+J44+H44</f>
        <v>15000</v>
      </c>
      <c r="H44" s="104"/>
      <c r="I44" s="104">
        <v>6000</v>
      </c>
      <c r="J44" s="104">
        <v>9000</v>
      </c>
      <c r="K44" s="104"/>
      <c r="L44" s="104">
        <v>500</v>
      </c>
      <c r="M44" s="104"/>
      <c r="N44" s="104">
        <v>500</v>
      </c>
      <c r="O44" s="104"/>
      <c r="P44" s="104"/>
      <c r="Q44" s="104"/>
      <c r="R44" s="104"/>
      <c r="S44" s="104"/>
      <c r="T44" s="104">
        <v>578</v>
      </c>
      <c r="U44" s="105">
        <v>50</v>
      </c>
      <c r="V44" s="105"/>
      <c r="W44" s="105"/>
      <c r="X44" s="105"/>
      <c r="Y44" s="105">
        <v>50</v>
      </c>
      <c r="Z44" s="105"/>
      <c r="AA44" s="105"/>
      <c r="AB44" s="105">
        <f>P44+T44-U44-L44</f>
        <v>28</v>
      </c>
      <c r="AC44" s="105"/>
      <c r="AD44" s="105"/>
      <c r="AE44" s="105">
        <v>28</v>
      </c>
      <c r="AF44" s="175">
        <v>578</v>
      </c>
      <c r="AG44" s="175"/>
      <c r="AH44" s="175">
        <v>550</v>
      </c>
      <c r="AI44" s="175"/>
      <c r="AJ44" s="175">
        <v>550</v>
      </c>
      <c r="AK44" s="175"/>
      <c r="AL44" s="175">
        <f>G44-AH44</f>
        <v>14450</v>
      </c>
      <c r="AM44" s="175"/>
      <c r="AN44" s="175">
        <f>I44-AJ44</f>
        <v>5450</v>
      </c>
      <c r="AO44" s="175">
        <f>J44-AK44</f>
        <v>9000</v>
      </c>
      <c r="AP44" s="166"/>
      <c r="AQ44" s="166"/>
      <c r="AR44" s="3"/>
      <c r="AS44" s="3"/>
      <c r="AT44" s="3"/>
      <c r="AU44" s="3"/>
      <c r="AV44" s="3"/>
      <c r="AW44" s="3"/>
      <c r="AX44" s="3"/>
      <c r="AY44" s="3"/>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row>
    <row r="45" spans="1:247" ht="16.95" customHeight="1" x14ac:dyDescent="0.3">
      <c r="A45" s="114">
        <v>4</v>
      </c>
      <c r="B45" s="74" t="s">
        <v>105</v>
      </c>
      <c r="C45" s="101"/>
      <c r="D45" s="102"/>
      <c r="E45" s="102"/>
      <c r="F45" s="101"/>
      <c r="G45" s="87">
        <f>ROUND(G46+G48,0)</f>
        <v>16000</v>
      </c>
      <c r="H45" s="87">
        <f t="shared" ref="H45:AO45" si="27">ROUND(H46+H48,0)</f>
        <v>3000</v>
      </c>
      <c r="I45" s="87">
        <f t="shared" si="27"/>
        <v>6500</v>
      </c>
      <c r="J45" s="87">
        <f t="shared" si="27"/>
        <v>6500</v>
      </c>
      <c r="K45" s="87">
        <f t="shared" si="27"/>
        <v>5894</v>
      </c>
      <c r="L45" s="87">
        <f t="shared" si="27"/>
        <v>4783</v>
      </c>
      <c r="M45" s="87">
        <f t="shared" si="27"/>
        <v>2000</v>
      </c>
      <c r="N45" s="87">
        <f t="shared" si="27"/>
        <v>2640</v>
      </c>
      <c r="O45" s="87">
        <f t="shared" si="27"/>
        <v>143</v>
      </c>
      <c r="P45" s="87">
        <f t="shared" si="27"/>
        <v>1111</v>
      </c>
      <c r="Q45" s="87">
        <f t="shared" si="27"/>
        <v>0</v>
      </c>
      <c r="R45" s="87">
        <f t="shared" si="27"/>
        <v>579</v>
      </c>
      <c r="S45" s="87">
        <f t="shared" si="27"/>
        <v>532</v>
      </c>
      <c r="T45" s="87">
        <f t="shared" si="27"/>
        <v>796</v>
      </c>
      <c r="U45" s="87">
        <f t="shared" si="27"/>
        <v>1962</v>
      </c>
      <c r="V45" s="87">
        <f t="shared" si="27"/>
        <v>0</v>
      </c>
      <c r="W45" s="87">
        <f t="shared" si="27"/>
        <v>0</v>
      </c>
      <c r="X45" s="87">
        <f t="shared" si="27"/>
        <v>579</v>
      </c>
      <c r="Y45" s="87">
        <f t="shared" si="27"/>
        <v>1083</v>
      </c>
      <c r="Z45" s="87">
        <f t="shared" si="27"/>
        <v>300</v>
      </c>
      <c r="AA45" s="87">
        <f t="shared" si="27"/>
        <v>0</v>
      </c>
      <c r="AB45" s="87">
        <f t="shared" si="27"/>
        <v>107</v>
      </c>
      <c r="AC45" s="87">
        <f t="shared" si="27"/>
        <v>0</v>
      </c>
      <c r="AD45" s="87">
        <f t="shared" si="27"/>
        <v>0</v>
      </c>
      <c r="AE45" s="87">
        <f t="shared" si="27"/>
        <v>107</v>
      </c>
      <c r="AF45" s="174">
        <f t="shared" si="27"/>
        <v>6690</v>
      </c>
      <c r="AG45" s="174">
        <f t="shared" si="27"/>
        <v>0</v>
      </c>
      <c r="AH45" s="174">
        <f t="shared" si="27"/>
        <v>6745</v>
      </c>
      <c r="AI45" s="174">
        <f t="shared" si="27"/>
        <v>2000</v>
      </c>
      <c r="AJ45" s="174">
        <f t="shared" si="27"/>
        <v>4302</v>
      </c>
      <c r="AK45" s="174">
        <f t="shared" si="27"/>
        <v>443</v>
      </c>
      <c r="AL45" s="174">
        <f t="shared" si="27"/>
        <v>9255</v>
      </c>
      <c r="AM45" s="174">
        <f t="shared" si="27"/>
        <v>1000</v>
      </c>
      <c r="AN45" s="174">
        <f t="shared" si="27"/>
        <v>2198</v>
      </c>
      <c r="AO45" s="174">
        <f t="shared" si="27"/>
        <v>6057</v>
      </c>
      <c r="AP45" s="166"/>
      <c r="AQ45" s="166"/>
      <c r="AR45" s="3"/>
      <c r="AS45" s="3"/>
      <c r="AT45" s="3"/>
      <c r="AU45" s="3"/>
      <c r="AV45" s="3"/>
      <c r="AW45" s="3"/>
      <c r="AX45" s="3"/>
      <c r="AY45" s="3"/>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row>
    <row r="46" spans="1:247" ht="16.95" customHeight="1" x14ac:dyDescent="0.3">
      <c r="A46" s="114" t="s">
        <v>42</v>
      </c>
      <c r="B46" s="74" t="s">
        <v>43</v>
      </c>
      <c r="C46" s="101"/>
      <c r="D46" s="102"/>
      <c r="E46" s="102"/>
      <c r="F46" s="101"/>
      <c r="G46" s="87">
        <f>ROUND(G47,0)</f>
        <v>6000</v>
      </c>
      <c r="H46" s="87">
        <f t="shared" ref="H46:AO46" si="28">ROUND(H47,0)</f>
        <v>0</v>
      </c>
      <c r="I46" s="87">
        <f t="shared" si="28"/>
        <v>4000</v>
      </c>
      <c r="J46" s="87">
        <f t="shared" si="28"/>
        <v>2000</v>
      </c>
      <c r="K46" s="87">
        <f t="shared" si="28"/>
        <v>1611</v>
      </c>
      <c r="L46" s="87">
        <f t="shared" si="28"/>
        <v>500</v>
      </c>
      <c r="M46" s="87">
        <f t="shared" si="28"/>
        <v>0</v>
      </c>
      <c r="N46" s="87">
        <f t="shared" si="28"/>
        <v>500</v>
      </c>
      <c r="O46" s="87">
        <f t="shared" si="28"/>
        <v>0</v>
      </c>
      <c r="P46" s="87">
        <f t="shared" si="28"/>
        <v>1111</v>
      </c>
      <c r="Q46" s="87">
        <f t="shared" si="28"/>
        <v>0</v>
      </c>
      <c r="R46" s="87">
        <f t="shared" si="28"/>
        <v>579</v>
      </c>
      <c r="S46" s="87">
        <f t="shared" si="28"/>
        <v>532</v>
      </c>
      <c r="T46" s="87">
        <f t="shared" si="28"/>
        <v>796</v>
      </c>
      <c r="U46" s="87">
        <f t="shared" si="28"/>
        <v>1800</v>
      </c>
      <c r="V46" s="87">
        <f t="shared" si="28"/>
        <v>0</v>
      </c>
      <c r="W46" s="87">
        <f t="shared" si="28"/>
        <v>0</v>
      </c>
      <c r="X46" s="87">
        <f t="shared" si="28"/>
        <v>579</v>
      </c>
      <c r="Y46" s="87">
        <f t="shared" si="28"/>
        <v>921</v>
      </c>
      <c r="Z46" s="87">
        <f t="shared" si="28"/>
        <v>300</v>
      </c>
      <c r="AA46" s="87">
        <f t="shared" si="28"/>
        <v>0</v>
      </c>
      <c r="AB46" s="87">
        <f t="shared" si="28"/>
        <v>107</v>
      </c>
      <c r="AC46" s="87">
        <f t="shared" si="28"/>
        <v>0</v>
      </c>
      <c r="AD46" s="87">
        <f t="shared" si="28"/>
        <v>0</v>
      </c>
      <c r="AE46" s="87">
        <f t="shared" si="28"/>
        <v>107</v>
      </c>
      <c r="AF46" s="174">
        <f t="shared" si="28"/>
        <v>2407</v>
      </c>
      <c r="AG46" s="174">
        <f t="shared" si="28"/>
        <v>0</v>
      </c>
      <c r="AH46" s="174">
        <f t="shared" si="28"/>
        <v>2300</v>
      </c>
      <c r="AI46" s="174">
        <f t="shared" si="28"/>
        <v>0</v>
      </c>
      <c r="AJ46" s="174">
        <f t="shared" si="28"/>
        <v>2000</v>
      </c>
      <c r="AK46" s="174">
        <f t="shared" si="28"/>
        <v>300</v>
      </c>
      <c r="AL46" s="174">
        <f t="shared" si="28"/>
        <v>3700</v>
      </c>
      <c r="AM46" s="174">
        <f t="shared" si="28"/>
        <v>0</v>
      </c>
      <c r="AN46" s="174">
        <f t="shared" si="28"/>
        <v>2000</v>
      </c>
      <c r="AO46" s="174">
        <f t="shared" si="28"/>
        <v>1700</v>
      </c>
      <c r="AP46" s="166"/>
      <c r="AQ46" s="166"/>
      <c r="AR46" s="3"/>
      <c r="AS46" s="3"/>
      <c r="AT46" s="3"/>
      <c r="AU46" s="3"/>
      <c r="AV46" s="3"/>
      <c r="AW46" s="3"/>
      <c r="AX46" s="3"/>
      <c r="AY46" s="3"/>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row>
    <row r="47" spans="1:247" ht="99" customHeight="1" x14ac:dyDescent="0.3">
      <c r="A47" s="16">
        <v>1</v>
      </c>
      <c r="B47" s="24" t="s">
        <v>106</v>
      </c>
      <c r="C47" s="25" t="s">
        <v>107</v>
      </c>
      <c r="D47" s="25" t="s">
        <v>108</v>
      </c>
      <c r="E47" s="25"/>
      <c r="F47" s="25" t="s">
        <v>109</v>
      </c>
      <c r="G47" s="104">
        <f t="shared" ref="G47" si="29">H47+I47+J47</f>
        <v>6000</v>
      </c>
      <c r="H47" s="104"/>
      <c r="I47" s="104">
        <v>4000</v>
      </c>
      <c r="J47" s="104">
        <v>2000</v>
      </c>
      <c r="K47" s="104">
        <v>1611</v>
      </c>
      <c r="L47" s="104">
        <f>M47+N47+O47</f>
        <v>500</v>
      </c>
      <c r="M47" s="104"/>
      <c r="N47" s="104">
        <v>500</v>
      </c>
      <c r="O47" s="104"/>
      <c r="P47" s="104">
        <f>K47-L47</f>
        <v>1111</v>
      </c>
      <c r="Q47" s="104"/>
      <c r="R47" s="104">
        <f>ROUND(1611*0.67-500,0)</f>
        <v>579</v>
      </c>
      <c r="S47" s="104">
        <f>ROUND(1611*0.33-0,0)</f>
        <v>532</v>
      </c>
      <c r="T47" s="104">
        <v>796</v>
      </c>
      <c r="U47" s="105">
        <f>V47+W47+X47+Y47+Z47+AA47</f>
        <v>1800</v>
      </c>
      <c r="V47" s="105"/>
      <c r="W47" s="105"/>
      <c r="X47" s="105">
        <v>579</v>
      </c>
      <c r="Y47" s="105">
        <v>921</v>
      </c>
      <c r="Z47" s="105">
        <v>300</v>
      </c>
      <c r="AA47" s="105"/>
      <c r="AB47" s="105">
        <f>P47+T47-U47</f>
        <v>107</v>
      </c>
      <c r="AC47" s="105"/>
      <c r="AD47" s="105"/>
      <c r="AE47" s="105">
        <v>107</v>
      </c>
      <c r="AF47" s="175">
        <f>K47+T47</f>
        <v>2407</v>
      </c>
      <c r="AG47" s="175"/>
      <c r="AH47" s="175">
        <f>L47+U47</f>
        <v>2300</v>
      </c>
      <c r="AI47" s="175"/>
      <c r="AJ47" s="175">
        <v>2000</v>
      </c>
      <c r="AK47" s="175">
        <v>300</v>
      </c>
      <c r="AL47" s="175">
        <f>G47-AH47</f>
        <v>3700</v>
      </c>
      <c r="AM47" s="175"/>
      <c r="AN47" s="175">
        <v>2000</v>
      </c>
      <c r="AO47" s="175">
        <v>1700</v>
      </c>
      <c r="AP47" s="166"/>
      <c r="AQ47" s="166"/>
      <c r="AR47" s="3"/>
      <c r="AS47" s="3"/>
      <c r="AT47" s="3"/>
      <c r="AU47" s="3"/>
      <c r="AV47" s="3"/>
      <c r="AW47" s="3"/>
      <c r="AX47" s="3"/>
      <c r="AY47" s="3"/>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row>
    <row r="48" spans="1:247" ht="25.95" customHeight="1" x14ac:dyDescent="0.3">
      <c r="A48" s="115" t="s">
        <v>71</v>
      </c>
      <c r="B48" s="74" t="s">
        <v>110</v>
      </c>
      <c r="C48" s="55"/>
      <c r="D48" s="116"/>
      <c r="E48" s="117"/>
      <c r="F48" s="118"/>
      <c r="G48" s="119">
        <f>ROUND(G72,0)</f>
        <v>10000</v>
      </c>
      <c r="H48" s="119">
        <f t="shared" ref="H48:AO48" si="30">ROUND(H72,0)</f>
        <v>3000</v>
      </c>
      <c r="I48" s="119">
        <f t="shared" si="30"/>
        <v>2500</v>
      </c>
      <c r="J48" s="119">
        <f t="shared" si="30"/>
        <v>4500</v>
      </c>
      <c r="K48" s="119">
        <f t="shared" si="30"/>
        <v>4283</v>
      </c>
      <c r="L48" s="119">
        <f t="shared" si="30"/>
        <v>4283</v>
      </c>
      <c r="M48" s="119">
        <f t="shared" si="30"/>
        <v>2000</v>
      </c>
      <c r="N48" s="119">
        <f t="shared" si="30"/>
        <v>2140</v>
      </c>
      <c r="O48" s="119">
        <f t="shared" si="30"/>
        <v>143</v>
      </c>
      <c r="P48" s="119">
        <f t="shared" si="30"/>
        <v>0</v>
      </c>
      <c r="Q48" s="119">
        <f t="shared" si="30"/>
        <v>0</v>
      </c>
      <c r="R48" s="119">
        <f t="shared" si="30"/>
        <v>0</v>
      </c>
      <c r="S48" s="119">
        <f t="shared" si="30"/>
        <v>0</v>
      </c>
      <c r="T48" s="119">
        <f t="shared" si="30"/>
        <v>0</v>
      </c>
      <c r="U48" s="119">
        <f t="shared" si="30"/>
        <v>162</v>
      </c>
      <c r="V48" s="119">
        <f t="shared" si="30"/>
        <v>0</v>
      </c>
      <c r="W48" s="119">
        <f t="shared" si="30"/>
        <v>0</v>
      </c>
      <c r="X48" s="119">
        <f t="shared" si="30"/>
        <v>0</v>
      </c>
      <c r="Y48" s="119">
        <f t="shared" si="30"/>
        <v>162</v>
      </c>
      <c r="Z48" s="119">
        <f t="shared" si="30"/>
        <v>0</v>
      </c>
      <c r="AA48" s="119">
        <f t="shared" si="30"/>
        <v>0</v>
      </c>
      <c r="AB48" s="119">
        <f t="shared" si="30"/>
        <v>0</v>
      </c>
      <c r="AC48" s="119">
        <f t="shared" si="30"/>
        <v>0</v>
      </c>
      <c r="AD48" s="119">
        <f t="shared" si="30"/>
        <v>0</v>
      </c>
      <c r="AE48" s="119">
        <f t="shared" si="30"/>
        <v>0</v>
      </c>
      <c r="AF48" s="180">
        <f t="shared" si="30"/>
        <v>4283</v>
      </c>
      <c r="AG48" s="180">
        <f t="shared" si="30"/>
        <v>0</v>
      </c>
      <c r="AH48" s="180">
        <f t="shared" si="30"/>
        <v>4445</v>
      </c>
      <c r="AI48" s="180">
        <f t="shared" si="30"/>
        <v>2000</v>
      </c>
      <c r="AJ48" s="180">
        <f t="shared" si="30"/>
        <v>2302</v>
      </c>
      <c r="AK48" s="180">
        <f t="shared" si="30"/>
        <v>143</v>
      </c>
      <c r="AL48" s="180">
        <f t="shared" si="30"/>
        <v>5555</v>
      </c>
      <c r="AM48" s="180">
        <f t="shared" si="30"/>
        <v>1000</v>
      </c>
      <c r="AN48" s="180">
        <f t="shared" si="30"/>
        <v>198</v>
      </c>
      <c r="AO48" s="180">
        <f t="shared" si="30"/>
        <v>4357</v>
      </c>
      <c r="AP48" s="166"/>
      <c r="AQ48" s="166"/>
      <c r="AR48" s="3"/>
      <c r="AS48" s="3"/>
      <c r="AT48" s="3"/>
      <c r="AU48" s="3"/>
      <c r="AV48" s="3"/>
      <c r="AW48" s="3"/>
      <c r="AX48" s="3"/>
      <c r="AY48" s="3"/>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row>
    <row r="49" spans="1:247" ht="91.5" hidden="1" customHeight="1" x14ac:dyDescent="0.3">
      <c r="A49" s="23">
        <v>1</v>
      </c>
      <c r="B49" s="24" t="s">
        <v>111</v>
      </c>
      <c r="C49" s="25" t="s">
        <v>107</v>
      </c>
      <c r="D49" s="25" t="s">
        <v>112</v>
      </c>
      <c r="E49" s="25" t="s">
        <v>113</v>
      </c>
      <c r="F49" s="25" t="s">
        <v>114</v>
      </c>
      <c r="G49" s="26">
        <f t="shared" ref="G49:G72" si="31">H49+I49+J49</f>
        <v>1120.7139999999999</v>
      </c>
      <c r="H49" s="26">
        <v>0</v>
      </c>
      <c r="I49" s="26">
        <v>300</v>
      </c>
      <c r="J49" s="35">
        <v>820.71400000000006</v>
      </c>
      <c r="K49" s="28"/>
      <c r="L49" s="28"/>
      <c r="M49" s="36"/>
      <c r="N49" s="37"/>
      <c r="O49" s="37"/>
      <c r="P49" s="28"/>
      <c r="Q49" s="37"/>
      <c r="R49" s="37"/>
      <c r="S49" s="37"/>
      <c r="T49" s="37"/>
      <c r="U49" s="30"/>
      <c r="V49" s="30"/>
      <c r="W49" s="30"/>
      <c r="X49" s="30"/>
      <c r="Y49" s="30"/>
      <c r="Z49" s="30"/>
      <c r="AA49" s="30"/>
      <c r="AB49" s="30"/>
      <c r="AC49" s="30"/>
      <c r="AD49" s="30"/>
      <c r="AE49" s="30"/>
      <c r="AF49" s="177"/>
      <c r="AG49" s="177"/>
      <c r="AH49" s="177"/>
      <c r="AI49" s="177"/>
      <c r="AJ49" s="177"/>
      <c r="AK49" s="177"/>
      <c r="AL49" s="177"/>
      <c r="AM49" s="177"/>
      <c r="AN49" s="177"/>
      <c r="AO49" s="177"/>
      <c r="AP49" s="166"/>
      <c r="AQ49" s="166"/>
      <c r="AR49" s="3"/>
      <c r="AS49" s="3"/>
      <c r="AT49" s="3"/>
      <c r="AU49" s="3"/>
      <c r="AV49" s="3"/>
      <c r="AW49" s="3"/>
      <c r="AX49" s="3"/>
      <c r="AY49" s="3"/>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row>
    <row r="50" spans="1:247" s="10" customFormat="1" ht="91.5" hidden="1" customHeight="1" x14ac:dyDescent="0.3">
      <c r="A50" s="23">
        <v>2</v>
      </c>
      <c r="B50" s="24" t="s">
        <v>115</v>
      </c>
      <c r="C50" s="25" t="s">
        <v>107</v>
      </c>
      <c r="D50" s="25" t="s">
        <v>112</v>
      </c>
      <c r="E50" s="25" t="s">
        <v>113</v>
      </c>
      <c r="F50" s="25" t="s">
        <v>116</v>
      </c>
      <c r="G50" s="26">
        <f t="shared" si="31"/>
        <v>937.39499999999998</v>
      </c>
      <c r="H50" s="26">
        <v>0</v>
      </c>
      <c r="I50" s="26">
        <v>0</v>
      </c>
      <c r="J50" s="35">
        <v>937.39499999999998</v>
      </c>
      <c r="K50" s="28"/>
      <c r="L50" s="28"/>
      <c r="M50" s="36"/>
      <c r="N50" s="37"/>
      <c r="O50" s="37"/>
      <c r="P50" s="28"/>
      <c r="Q50" s="37"/>
      <c r="R50" s="37"/>
      <c r="S50" s="37"/>
      <c r="T50" s="37"/>
      <c r="U50" s="31"/>
      <c r="V50" s="31"/>
      <c r="W50" s="31"/>
      <c r="X50" s="31"/>
      <c r="Y50" s="31"/>
      <c r="Z50" s="31"/>
      <c r="AA50" s="31"/>
      <c r="AB50" s="31"/>
      <c r="AC50" s="31"/>
      <c r="AD50" s="31"/>
      <c r="AE50" s="31"/>
      <c r="AF50" s="177"/>
      <c r="AG50" s="177"/>
      <c r="AH50" s="177"/>
      <c r="AI50" s="177"/>
      <c r="AJ50" s="177"/>
      <c r="AK50" s="177"/>
      <c r="AL50" s="177"/>
      <c r="AM50" s="177"/>
      <c r="AN50" s="177"/>
      <c r="AO50" s="177"/>
      <c r="AP50" s="166"/>
      <c r="AQ50" s="166"/>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row>
    <row r="51" spans="1:247" ht="91.5" hidden="1" customHeight="1" x14ac:dyDescent="0.3">
      <c r="A51" s="23">
        <v>3</v>
      </c>
      <c r="B51" s="24" t="s">
        <v>117</v>
      </c>
      <c r="C51" s="25" t="s">
        <v>107</v>
      </c>
      <c r="D51" s="25" t="s">
        <v>118</v>
      </c>
      <c r="E51" s="25" t="s">
        <v>118</v>
      </c>
      <c r="F51" s="25" t="s">
        <v>119</v>
      </c>
      <c r="G51" s="26">
        <f t="shared" si="31"/>
        <v>1154.2640000000001</v>
      </c>
      <c r="H51" s="26">
        <v>0</v>
      </c>
      <c r="I51" s="26">
        <v>300</v>
      </c>
      <c r="J51" s="35">
        <v>854.26400000000001</v>
      </c>
      <c r="K51" s="28"/>
      <c r="L51" s="28"/>
      <c r="M51" s="36"/>
      <c r="N51" s="37"/>
      <c r="O51" s="37"/>
      <c r="P51" s="28"/>
      <c r="Q51" s="37"/>
      <c r="R51" s="37"/>
      <c r="S51" s="37"/>
      <c r="T51" s="37"/>
      <c r="U51" s="30"/>
      <c r="V51" s="30"/>
      <c r="W51" s="30"/>
      <c r="X51" s="30"/>
      <c r="Y51" s="30"/>
      <c r="Z51" s="30"/>
      <c r="AA51" s="30"/>
      <c r="AB51" s="30"/>
      <c r="AC51" s="30"/>
      <c r="AD51" s="30"/>
      <c r="AE51" s="30"/>
      <c r="AF51" s="177"/>
      <c r="AG51" s="177"/>
      <c r="AH51" s="177"/>
      <c r="AI51" s="177"/>
      <c r="AJ51" s="177"/>
      <c r="AK51" s="177"/>
      <c r="AL51" s="177"/>
      <c r="AM51" s="177"/>
      <c r="AN51" s="177"/>
      <c r="AO51" s="177"/>
      <c r="AP51" s="166"/>
      <c r="AQ51" s="166"/>
      <c r="AR51" s="3"/>
      <c r="AS51" s="3"/>
      <c r="AT51" s="3"/>
      <c r="AU51" s="3"/>
      <c r="AV51" s="3"/>
      <c r="AW51" s="3"/>
      <c r="AX51" s="3"/>
      <c r="AY51" s="3"/>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row>
    <row r="52" spans="1:247" ht="91.5" hidden="1" customHeight="1" x14ac:dyDescent="0.3">
      <c r="A52" s="23">
        <v>4</v>
      </c>
      <c r="B52" s="24" t="s">
        <v>120</v>
      </c>
      <c r="C52" s="25" t="s">
        <v>107</v>
      </c>
      <c r="D52" s="25" t="s">
        <v>121</v>
      </c>
      <c r="E52" s="25" t="s">
        <v>122</v>
      </c>
      <c r="F52" s="25" t="s">
        <v>123</v>
      </c>
      <c r="G52" s="26">
        <f t="shared" si="31"/>
        <v>3000</v>
      </c>
      <c r="H52" s="26">
        <v>1300</v>
      </c>
      <c r="I52" s="26">
        <v>1000</v>
      </c>
      <c r="J52" s="35">
        <v>700</v>
      </c>
      <c r="K52" s="28"/>
      <c r="L52" s="28"/>
      <c r="M52" s="36"/>
      <c r="N52" s="37"/>
      <c r="O52" s="37"/>
      <c r="P52" s="28"/>
      <c r="Q52" s="37"/>
      <c r="R52" s="37"/>
      <c r="S52" s="37"/>
      <c r="T52" s="37"/>
      <c r="U52" s="30"/>
      <c r="V52" s="30"/>
      <c r="W52" s="30"/>
      <c r="X52" s="30"/>
      <c r="Y52" s="30"/>
      <c r="Z52" s="30"/>
      <c r="AA52" s="30"/>
      <c r="AB52" s="30"/>
      <c r="AC52" s="30"/>
      <c r="AD52" s="30"/>
      <c r="AE52" s="30"/>
      <c r="AF52" s="177"/>
      <c r="AG52" s="177"/>
      <c r="AH52" s="177"/>
      <c r="AI52" s="177"/>
      <c r="AJ52" s="177"/>
      <c r="AK52" s="177"/>
      <c r="AL52" s="177"/>
      <c r="AM52" s="177"/>
      <c r="AN52" s="177"/>
      <c r="AO52" s="177"/>
      <c r="AP52" s="166"/>
      <c r="AQ52" s="166"/>
      <c r="AR52" s="3"/>
      <c r="AS52" s="3"/>
      <c r="AT52" s="3"/>
      <c r="AU52" s="3"/>
      <c r="AV52" s="3"/>
      <c r="AW52" s="3"/>
      <c r="AX52" s="3"/>
      <c r="AY52" s="3"/>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row>
    <row r="53" spans="1:247" ht="91.5" hidden="1" customHeight="1" x14ac:dyDescent="0.3">
      <c r="A53" s="23">
        <v>5</v>
      </c>
      <c r="B53" s="24" t="s">
        <v>124</v>
      </c>
      <c r="C53" s="25" t="s">
        <v>107</v>
      </c>
      <c r="D53" s="25" t="s">
        <v>125</v>
      </c>
      <c r="E53" s="25" t="s">
        <v>126</v>
      </c>
      <c r="F53" s="25" t="s">
        <v>127</v>
      </c>
      <c r="G53" s="26">
        <f t="shared" si="31"/>
        <v>192.19900000000001</v>
      </c>
      <c r="H53" s="26">
        <v>0</v>
      </c>
      <c r="I53" s="26">
        <v>0</v>
      </c>
      <c r="J53" s="35">
        <v>192.19900000000001</v>
      </c>
      <c r="K53" s="28"/>
      <c r="L53" s="28"/>
      <c r="M53" s="36"/>
      <c r="N53" s="37"/>
      <c r="O53" s="37"/>
      <c r="P53" s="28"/>
      <c r="Q53" s="37"/>
      <c r="R53" s="37"/>
      <c r="S53" s="37"/>
      <c r="T53" s="37"/>
      <c r="U53" s="30"/>
      <c r="V53" s="30"/>
      <c r="W53" s="30"/>
      <c r="X53" s="30"/>
      <c r="Y53" s="30"/>
      <c r="Z53" s="30"/>
      <c r="AA53" s="30"/>
      <c r="AB53" s="30"/>
      <c r="AC53" s="30"/>
      <c r="AD53" s="30"/>
      <c r="AE53" s="30"/>
      <c r="AF53" s="177"/>
      <c r="AG53" s="177"/>
      <c r="AH53" s="177"/>
      <c r="AI53" s="177"/>
      <c r="AJ53" s="177"/>
      <c r="AK53" s="177"/>
      <c r="AL53" s="177"/>
      <c r="AM53" s="177"/>
      <c r="AN53" s="177"/>
      <c r="AO53" s="177"/>
      <c r="AP53" s="166"/>
      <c r="AQ53" s="166"/>
      <c r="AR53" s="3"/>
      <c r="AS53" s="3"/>
      <c r="AT53" s="3"/>
      <c r="AU53" s="3"/>
      <c r="AV53" s="3"/>
      <c r="AW53" s="3"/>
      <c r="AX53" s="3"/>
      <c r="AY53" s="3"/>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row>
    <row r="54" spans="1:247" ht="91.5" hidden="1" customHeight="1" x14ac:dyDescent="0.3">
      <c r="A54" s="23">
        <v>6</v>
      </c>
      <c r="B54" s="24" t="s">
        <v>128</v>
      </c>
      <c r="C54" s="25" t="s">
        <v>107</v>
      </c>
      <c r="D54" s="25"/>
      <c r="E54" s="25"/>
      <c r="F54" s="25"/>
      <c r="G54" s="26">
        <f t="shared" si="31"/>
        <v>288.23500000000001</v>
      </c>
      <c r="H54" s="26">
        <v>0</v>
      </c>
      <c r="I54" s="26">
        <v>0</v>
      </c>
      <c r="J54" s="35">
        <v>288.23500000000001</v>
      </c>
      <c r="K54" s="28"/>
      <c r="L54" s="28"/>
      <c r="M54" s="36"/>
      <c r="N54" s="37"/>
      <c r="O54" s="37"/>
      <c r="P54" s="28"/>
      <c r="Q54" s="37"/>
      <c r="R54" s="37"/>
      <c r="S54" s="37"/>
      <c r="T54" s="37"/>
      <c r="U54" s="30"/>
      <c r="V54" s="30"/>
      <c r="W54" s="30"/>
      <c r="X54" s="30"/>
      <c r="Y54" s="30"/>
      <c r="Z54" s="30"/>
      <c r="AA54" s="30"/>
      <c r="AB54" s="30"/>
      <c r="AC54" s="30"/>
      <c r="AD54" s="30"/>
      <c r="AE54" s="30"/>
      <c r="AF54" s="177"/>
      <c r="AG54" s="177"/>
      <c r="AH54" s="177"/>
      <c r="AI54" s="177"/>
      <c r="AJ54" s="177"/>
      <c r="AK54" s="177"/>
      <c r="AL54" s="177"/>
      <c r="AM54" s="177"/>
      <c r="AN54" s="177"/>
      <c r="AO54" s="177"/>
      <c r="AP54" s="166"/>
      <c r="AQ54" s="166"/>
      <c r="AR54" s="3"/>
      <c r="AS54" s="3"/>
      <c r="AT54" s="3"/>
      <c r="AU54" s="3"/>
      <c r="AV54" s="3"/>
      <c r="AW54" s="3"/>
      <c r="AX54" s="3"/>
      <c r="AY54" s="3"/>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row>
    <row r="55" spans="1:247" ht="91.5" hidden="1" customHeight="1" x14ac:dyDescent="0.3">
      <c r="A55" s="23">
        <v>7</v>
      </c>
      <c r="B55" s="24" t="s">
        <v>129</v>
      </c>
      <c r="C55" s="25" t="s">
        <v>107</v>
      </c>
      <c r="D55" s="25" t="s">
        <v>61</v>
      </c>
      <c r="E55" s="25">
        <v>2023</v>
      </c>
      <c r="F55" s="25" t="s">
        <v>130</v>
      </c>
      <c r="G55" s="26">
        <f t="shared" si="31"/>
        <v>1200</v>
      </c>
      <c r="H55" s="26">
        <v>0</v>
      </c>
      <c r="I55" s="26">
        <v>0</v>
      </c>
      <c r="J55" s="35">
        <v>1200</v>
      </c>
      <c r="K55" s="28"/>
      <c r="L55" s="28"/>
      <c r="M55" s="36"/>
      <c r="N55" s="37"/>
      <c r="O55" s="37"/>
      <c r="P55" s="28"/>
      <c r="Q55" s="37"/>
      <c r="R55" s="37"/>
      <c r="S55" s="37"/>
      <c r="T55" s="37"/>
      <c r="U55" s="30"/>
      <c r="V55" s="30"/>
      <c r="W55" s="30"/>
      <c r="X55" s="30"/>
      <c r="Y55" s="30"/>
      <c r="Z55" s="30"/>
      <c r="AA55" s="30"/>
      <c r="AB55" s="30"/>
      <c r="AC55" s="30"/>
      <c r="AD55" s="30"/>
      <c r="AE55" s="30"/>
      <c r="AF55" s="177"/>
      <c r="AG55" s="177"/>
      <c r="AH55" s="177"/>
      <c r="AI55" s="177"/>
      <c r="AJ55" s="177"/>
      <c r="AK55" s="177"/>
      <c r="AL55" s="177"/>
      <c r="AM55" s="177"/>
      <c r="AN55" s="177"/>
      <c r="AO55" s="177"/>
      <c r="AP55" s="166"/>
      <c r="AQ55" s="166"/>
      <c r="AR55" s="3"/>
      <c r="AS55" s="3"/>
      <c r="AT55" s="3"/>
      <c r="AU55" s="3"/>
      <c r="AV55" s="3"/>
      <c r="AW55" s="3"/>
      <c r="AX55" s="3"/>
      <c r="AY55" s="3"/>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row>
    <row r="56" spans="1:247" ht="91.5" hidden="1" customHeight="1" x14ac:dyDescent="0.3">
      <c r="A56" s="23">
        <v>8</v>
      </c>
      <c r="B56" s="24" t="s">
        <v>131</v>
      </c>
      <c r="C56" s="25" t="s">
        <v>107</v>
      </c>
      <c r="D56" s="25" t="s">
        <v>132</v>
      </c>
      <c r="E56" s="25">
        <v>2024</v>
      </c>
      <c r="F56" s="25" t="s">
        <v>133</v>
      </c>
      <c r="G56" s="26">
        <f t="shared" si="31"/>
        <v>850.58799999999997</v>
      </c>
      <c r="H56" s="26">
        <v>0</v>
      </c>
      <c r="I56" s="26">
        <v>0</v>
      </c>
      <c r="J56" s="35">
        <v>850.58799999999997</v>
      </c>
      <c r="K56" s="28"/>
      <c r="L56" s="28"/>
      <c r="M56" s="36"/>
      <c r="N56" s="37"/>
      <c r="O56" s="37"/>
      <c r="P56" s="28"/>
      <c r="Q56" s="37"/>
      <c r="R56" s="37"/>
      <c r="S56" s="37"/>
      <c r="T56" s="37"/>
      <c r="U56" s="30"/>
      <c r="V56" s="30"/>
      <c r="W56" s="30"/>
      <c r="X56" s="30"/>
      <c r="Y56" s="30"/>
      <c r="Z56" s="30"/>
      <c r="AA56" s="30"/>
      <c r="AB56" s="30"/>
      <c r="AC56" s="30"/>
      <c r="AD56" s="30"/>
      <c r="AE56" s="30"/>
      <c r="AF56" s="177"/>
      <c r="AG56" s="177"/>
      <c r="AH56" s="177"/>
      <c r="AI56" s="177"/>
      <c r="AJ56" s="177"/>
      <c r="AK56" s="177"/>
      <c r="AL56" s="177"/>
      <c r="AM56" s="177"/>
      <c r="AN56" s="177"/>
      <c r="AO56" s="177"/>
      <c r="AP56" s="166"/>
      <c r="AQ56" s="166"/>
      <c r="AR56" s="3"/>
      <c r="AS56" s="3"/>
      <c r="AT56" s="3"/>
      <c r="AU56" s="3"/>
      <c r="AV56" s="3"/>
      <c r="AW56" s="3"/>
      <c r="AX56" s="3"/>
      <c r="AY56" s="3"/>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row>
    <row r="57" spans="1:247" ht="91.5" hidden="1" customHeight="1" x14ac:dyDescent="0.3">
      <c r="A57" s="23">
        <v>9</v>
      </c>
      <c r="B57" s="24" t="s">
        <v>134</v>
      </c>
      <c r="C57" s="25" t="s">
        <v>107</v>
      </c>
      <c r="D57" s="25" t="s">
        <v>132</v>
      </c>
      <c r="E57" s="25">
        <v>2024</v>
      </c>
      <c r="F57" s="25" t="s">
        <v>135</v>
      </c>
      <c r="G57" s="26">
        <f t="shared" si="31"/>
        <v>446.541</v>
      </c>
      <c r="H57" s="26">
        <v>0</v>
      </c>
      <c r="I57" s="26">
        <v>0</v>
      </c>
      <c r="J57" s="35">
        <v>446.541</v>
      </c>
      <c r="K57" s="28"/>
      <c r="L57" s="28"/>
      <c r="M57" s="36"/>
      <c r="N57" s="37"/>
      <c r="O57" s="37"/>
      <c r="P57" s="28"/>
      <c r="Q57" s="37"/>
      <c r="R57" s="37"/>
      <c r="S57" s="37"/>
      <c r="T57" s="37"/>
      <c r="U57" s="30"/>
      <c r="V57" s="30"/>
      <c r="W57" s="30"/>
      <c r="X57" s="30"/>
      <c r="Y57" s="30"/>
      <c r="Z57" s="30"/>
      <c r="AA57" s="30"/>
      <c r="AB57" s="30"/>
      <c r="AC57" s="30"/>
      <c r="AD57" s="30"/>
      <c r="AE57" s="30"/>
      <c r="AF57" s="177"/>
      <c r="AG57" s="177"/>
      <c r="AH57" s="177"/>
      <c r="AI57" s="177"/>
      <c r="AJ57" s="177"/>
      <c r="AK57" s="177"/>
      <c r="AL57" s="177"/>
      <c r="AM57" s="177"/>
      <c r="AN57" s="177"/>
      <c r="AO57" s="177"/>
      <c r="AP57" s="166"/>
      <c r="AQ57" s="166"/>
      <c r="AR57" s="3"/>
      <c r="AS57" s="3"/>
      <c r="AT57" s="3"/>
      <c r="AU57" s="3"/>
      <c r="AV57" s="3"/>
      <c r="AW57" s="3"/>
      <c r="AX57" s="3"/>
      <c r="AY57" s="3"/>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row>
    <row r="58" spans="1:247" ht="91.5" hidden="1" customHeight="1" x14ac:dyDescent="0.3">
      <c r="A58" s="23">
        <v>10</v>
      </c>
      <c r="B58" s="24" t="s">
        <v>136</v>
      </c>
      <c r="C58" s="25" t="s">
        <v>107</v>
      </c>
      <c r="D58" s="25" t="s">
        <v>132</v>
      </c>
      <c r="E58" s="25">
        <v>2024</v>
      </c>
      <c r="F58" s="25" t="s">
        <v>137</v>
      </c>
      <c r="G58" s="26">
        <f t="shared" si="31"/>
        <v>2000</v>
      </c>
      <c r="H58" s="26">
        <v>0</v>
      </c>
      <c r="I58" s="26">
        <v>200</v>
      </c>
      <c r="J58" s="35">
        <v>1800</v>
      </c>
      <c r="K58" s="28"/>
      <c r="L58" s="28"/>
      <c r="M58" s="36"/>
      <c r="N58" s="37"/>
      <c r="O58" s="37"/>
      <c r="P58" s="28"/>
      <c r="Q58" s="37"/>
      <c r="R58" s="37"/>
      <c r="S58" s="37"/>
      <c r="T58" s="37"/>
      <c r="U58" s="30"/>
      <c r="V58" s="30"/>
      <c r="W58" s="30"/>
      <c r="X58" s="30"/>
      <c r="Y58" s="30"/>
      <c r="Z58" s="30"/>
      <c r="AA58" s="30"/>
      <c r="AB58" s="30"/>
      <c r="AC58" s="30"/>
      <c r="AD58" s="30"/>
      <c r="AE58" s="30"/>
      <c r="AF58" s="177"/>
      <c r="AG58" s="177"/>
      <c r="AH58" s="177"/>
      <c r="AI58" s="177"/>
      <c r="AJ58" s="177"/>
      <c r="AK58" s="177"/>
      <c r="AL58" s="177"/>
      <c r="AM58" s="177"/>
      <c r="AN58" s="177"/>
      <c r="AO58" s="177"/>
      <c r="AP58" s="166"/>
      <c r="AQ58" s="166"/>
      <c r="AR58" s="3"/>
      <c r="AS58" s="3"/>
      <c r="AT58" s="3"/>
      <c r="AU58" s="3"/>
      <c r="AV58" s="3"/>
      <c r="AW58" s="3"/>
      <c r="AX58" s="3"/>
      <c r="AY58" s="3"/>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row>
    <row r="59" spans="1:247" ht="91.5" hidden="1" customHeight="1" x14ac:dyDescent="0.3">
      <c r="A59" s="23">
        <v>11</v>
      </c>
      <c r="B59" s="24" t="s">
        <v>138</v>
      </c>
      <c r="C59" s="25" t="s">
        <v>107</v>
      </c>
      <c r="D59" s="25" t="s">
        <v>132</v>
      </c>
      <c r="E59" s="25">
        <v>2024</v>
      </c>
      <c r="F59" s="25" t="s">
        <v>139</v>
      </c>
      <c r="G59" s="26">
        <f t="shared" si="31"/>
        <v>150</v>
      </c>
      <c r="H59" s="26">
        <v>0</v>
      </c>
      <c r="I59" s="26">
        <v>0</v>
      </c>
      <c r="J59" s="35">
        <v>150</v>
      </c>
      <c r="K59" s="28"/>
      <c r="L59" s="28"/>
      <c r="M59" s="36"/>
      <c r="N59" s="37"/>
      <c r="O59" s="37"/>
      <c r="P59" s="28"/>
      <c r="Q59" s="37"/>
      <c r="R59" s="37"/>
      <c r="S59" s="37"/>
      <c r="T59" s="37"/>
      <c r="U59" s="30"/>
      <c r="V59" s="30"/>
      <c r="W59" s="30"/>
      <c r="X59" s="30"/>
      <c r="Y59" s="30"/>
      <c r="Z59" s="30"/>
      <c r="AA59" s="30"/>
      <c r="AB59" s="30"/>
      <c r="AC59" s="30"/>
      <c r="AD59" s="30"/>
      <c r="AE59" s="30"/>
      <c r="AF59" s="177"/>
      <c r="AG59" s="177"/>
      <c r="AH59" s="177"/>
      <c r="AI59" s="177"/>
      <c r="AJ59" s="177"/>
      <c r="AK59" s="177"/>
      <c r="AL59" s="177"/>
      <c r="AM59" s="177"/>
      <c r="AN59" s="177"/>
      <c r="AO59" s="177"/>
      <c r="AP59" s="166"/>
      <c r="AQ59" s="166"/>
      <c r="AR59" s="3"/>
      <c r="AS59" s="3"/>
      <c r="AT59" s="3"/>
      <c r="AU59" s="3"/>
      <c r="AV59" s="3"/>
      <c r="AW59" s="3"/>
      <c r="AX59" s="3"/>
      <c r="AY59" s="3"/>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row>
    <row r="60" spans="1:247" ht="91.5" hidden="1" customHeight="1" x14ac:dyDescent="0.3">
      <c r="A60" s="23">
        <v>12</v>
      </c>
      <c r="B60" s="24" t="s">
        <v>140</v>
      </c>
      <c r="C60" s="25" t="s">
        <v>107</v>
      </c>
      <c r="D60" s="25" t="s">
        <v>132</v>
      </c>
      <c r="E60" s="25">
        <v>2024</v>
      </c>
      <c r="F60" s="25" t="s">
        <v>141</v>
      </c>
      <c r="G60" s="26">
        <f t="shared" si="31"/>
        <v>719.77499999999998</v>
      </c>
      <c r="H60" s="26">
        <v>0</v>
      </c>
      <c r="I60" s="26">
        <v>400</v>
      </c>
      <c r="J60" s="35">
        <v>319.77499999999998</v>
      </c>
      <c r="K60" s="28"/>
      <c r="L60" s="28"/>
      <c r="M60" s="36"/>
      <c r="N60" s="37"/>
      <c r="O60" s="37"/>
      <c r="P60" s="28"/>
      <c r="Q60" s="37"/>
      <c r="R60" s="37"/>
      <c r="S60" s="37"/>
      <c r="T60" s="37"/>
      <c r="U60" s="30"/>
      <c r="V60" s="30"/>
      <c r="W60" s="30"/>
      <c r="X60" s="30"/>
      <c r="Y60" s="30"/>
      <c r="Z60" s="30"/>
      <c r="AA60" s="30"/>
      <c r="AB60" s="30"/>
      <c r="AC60" s="30"/>
      <c r="AD60" s="30"/>
      <c r="AE60" s="30"/>
      <c r="AF60" s="177"/>
      <c r="AG60" s="177"/>
      <c r="AH60" s="177"/>
      <c r="AI60" s="177"/>
      <c r="AJ60" s="177"/>
      <c r="AK60" s="177"/>
      <c r="AL60" s="177"/>
      <c r="AM60" s="177"/>
      <c r="AN60" s="177"/>
      <c r="AO60" s="177"/>
      <c r="AP60" s="166"/>
      <c r="AQ60" s="166"/>
      <c r="AR60" s="3"/>
      <c r="AS60" s="3"/>
      <c r="AT60" s="3"/>
      <c r="AU60" s="3"/>
      <c r="AV60" s="3"/>
      <c r="AW60" s="3"/>
      <c r="AX60" s="3"/>
      <c r="AY60" s="3"/>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row>
    <row r="61" spans="1:247" ht="91.5" hidden="1" customHeight="1" x14ac:dyDescent="0.3">
      <c r="A61" s="23">
        <v>13</v>
      </c>
      <c r="B61" s="24" t="s">
        <v>142</v>
      </c>
      <c r="C61" s="25" t="s">
        <v>107</v>
      </c>
      <c r="D61" s="25" t="s">
        <v>132</v>
      </c>
      <c r="E61" s="25">
        <v>2024</v>
      </c>
      <c r="F61" s="25" t="s">
        <v>143</v>
      </c>
      <c r="G61" s="26">
        <f t="shared" si="31"/>
        <v>847.11</v>
      </c>
      <c r="H61" s="26">
        <v>0</v>
      </c>
      <c r="I61" s="26">
        <v>0</v>
      </c>
      <c r="J61" s="35">
        <v>847.11</v>
      </c>
      <c r="K61" s="28"/>
      <c r="L61" s="28"/>
      <c r="M61" s="36"/>
      <c r="N61" s="37"/>
      <c r="O61" s="37"/>
      <c r="P61" s="28"/>
      <c r="Q61" s="37"/>
      <c r="R61" s="37"/>
      <c r="S61" s="37"/>
      <c r="T61" s="37"/>
      <c r="U61" s="30"/>
      <c r="V61" s="30"/>
      <c r="W61" s="30"/>
      <c r="X61" s="30"/>
      <c r="Y61" s="30"/>
      <c r="Z61" s="30"/>
      <c r="AA61" s="30"/>
      <c r="AB61" s="30"/>
      <c r="AC61" s="30"/>
      <c r="AD61" s="30"/>
      <c r="AE61" s="30"/>
      <c r="AF61" s="177"/>
      <c r="AG61" s="177"/>
      <c r="AH61" s="177"/>
      <c r="AI61" s="177"/>
      <c r="AJ61" s="177"/>
      <c r="AK61" s="177"/>
      <c r="AL61" s="177"/>
      <c r="AM61" s="177"/>
      <c r="AN61" s="177"/>
      <c r="AO61" s="177"/>
      <c r="AP61" s="166"/>
      <c r="AQ61" s="166"/>
      <c r="AR61" s="3"/>
      <c r="AS61" s="3"/>
      <c r="AT61" s="3"/>
      <c r="AU61" s="3"/>
      <c r="AV61" s="3"/>
      <c r="AW61" s="3"/>
      <c r="AX61" s="3"/>
      <c r="AY61" s="3"/>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row>
    <row r="62" spans="1:247" ht="91.5" hidden="1" customHeight="1" x14ac:dyDescent="0.3">
      <c r="A62" s="23">
        <v>14</v>
      </c>
      <c r="B62" s="24" t="s">
        <v>144</v>
      </c>
      <c r="C62" s="25" t="s">
        <v>107</v>
      </c>
      <c r="D62" s="25" t="s">
        <v>118</v>
      </c>
      <c r="E62" s="25" t="s">
        <v>145</v>
      </c>
      <c r="F62" s="25" t="s">
        <v>146</v>
      </c>
      <c r="G62" s="26">
        <f t="shared" si="31"/>
        <v>1097.5050000000001</v>
      </c>
      <c r="H62" s="26">
        <v>0</v>
      </c>
      <c r="I62" s="26">
        <v>1097.5050000000001</v>
      </c>
      <c r="J62" s="35">
        <v>0</v>
      </c>
      <c r="K62" s="28"/>
      <c r="L62" s="28"/>
      <c r="M62" s="36"/>
      <c r="N62" s="37"/>
      <c r="O62" s="37"/>
      <c r="P62" s="28"/>
      <c r="Q62" s="37"/>
      <c r="R62" s="37"/>
      <c r="S62" s="37"/>
      <c r="T62" s="37"/>
      <c r="U62" s="38"/>
      <c r="V62" s="38"/>
      <c r="W62" s="38"/>
      <c r="X62" s="38"/>
      <c r="Y62" s="38"/>
      <c r="Z62" s="38"/>
      <c r="AA62" s="38"/>
      <c r="AB62" s="38"/>
      <c r="AC62" s="38"/>
      <c r="AD62" s="38"/>
      <c r="AE62" s="30"/>
      <c r="AF62" s="177"/>
      <c r="AG62" s="177"/>
      <c r="AH62" s="177"/>
      <c r="AI62" s="177"/>
      <c r="AJ62" s="177"/>
      <c r="AK62" s="177"/>
      <c r="AL62" s="177"/>
      <c r="AM62" s="177"/>
      <c r="AN62" s="177"/>
      <c r="AO62" s="177"/>
      <c r="AP62" s="166"/>
      <c r="AQ62" s="166"/>
      <c r="AR62" s="3"/>
      <c r="AS62" s="3"/>
      <c r="AT62" s="3"/>
      <c r="AU62" s="3"/>
      <c r="AV62" s="3"/>
      <c r="AW62" s="3"/>
      <c r="AX62" s="3"/>
      <c r="AY62" s="3"/>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row>
    <row r="63" spans="1:247" ht="91.5" hidden="1" customHeight="1" x14ac:dyDescent="0.3">
      <c r="A63" s="23">
        <v>15</v>
      </c>
      <c r="B63" s="24" t="s">
        <v>147</v>
      </c>
      <c r="C63" s="25" t="s">
        <v>107</v>
      </c>
      <c r="D63" s="25" t="s">
        <v>61</v>
      </c>
      <c r="E63" s="25">
        <v>2023</v>
      </c>
      <c r="F63" s="25" t="s">
        <v>148</v>
      </c>
      <c r="G63" s="26">
        <f t="shared" si="31"/>
        <v>195</v>
      </c>
      <c r="H63" s="26">
        <v>0</v>
      </c>
      <c r="I63" s="26">
        <v>0</v>
      </c>
      <c r="J63" s="35">
        <v>195</v>
      </c>
      <c r="K63" s="28"/>
      <c r="L63" s="28"/>
      <c r="M63" s="36"/>
      <c r="N63" s="37"/>
      <c r="O63" s="37"/>
      <c r="P63" s="28"/>
      <c r="Q63" s="37"/>
      <c r="R63" s="37"/>
      <c r="S63" s="37"/>
      <c r="T63" s="37"/>
      <c r="U63" s="38"/>
      <c r="V63" s="38"/>
      <c r="W63" s="38"/>
      <c r="X63" s="38"/>
      <c r="Y63" s="38"/>
      <c r="Z63" s="38"/>
      <c r="AA63" s="38"/>
      <c r="AB63" s="38"/>
      <c r="AC63" s="38"/>
      <c r="AD63" s="38"/>
      <c r="AE63" s="30"/>
      <c r="AF63" s="177"/>
      <c r="AG63" s="177"/>
      <c r="AH63" s="177"/>
      <c r="AI63" s="177"/>
      <c r="AJ63" s="177"/>
      <c r="AK63" s="177"/>
      <c r="AL63" s="177"/>
      <c r="AM63" s="177"/>
      <c r="AN63" s="177"/>
      <c r="AO63" s="177"/>
      <c r="AP63" s="166"/>
      <c r="AQ63" s="166"/>
      <c r="AR63" s="3"/>
      <c r="AS63" s="3"/>
      <c r="AT63" s="3"/>
      <c r="AU63" s="3"/>
      <c r="AV63" s="3"/>
      <c r="AW63" s="3"/>
      <c r="AX63" s="3"/>
      <c r="AY63" s="3"/>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row>
    <row r="64" spans="1:247" ht="91.5" hidden="1" customHeight="1" x14ac:dyDescent="0.3">
      <c r="A64" s="23">
        <v>16</v>
      </c>
      <c r="B64" s="24" t="s">
        <v>149</v>
      </c>
      <c r="C64" s="25" t="s">
        <v>107</v>
      </c>
      <c r="D64" s="25" t="s">
        <v>150</v>
      </c>
      <c r="E64" s="25">
        <v>2024</v>
      </c>
      <c r="F64" s="25" t="s">
        <v>151</v>
      </c>
      <c r="G64" s="26">
        <f t="shared" si="31"/>
        <v>1100.9960000000001</v>
      </c>
      <c r="H64" s="26">
        <v>0</v>
      </c>
      <c r="I64" s="26">
        <v>0</v>
      </c>
      <c r="J64" s="35">
        <v>1100.9960000000001</v>
      </c>
      <c r="K64" s="28"/>
      <c r="L64" s="28"/>
      <c r="M64" s="36"/>
      <c r="N64" s="37"/>
      <c r="O64" s="37"/>
      <c r="P64" s="28"/>
      <c r="Q64" s="37"/>
      <c r="R64" s="37"/>
      <c r="S64" s="37"/>
      <c r="T64" s="37"/>
      <c r="U64" s="38"/>
      <c r="V64" s="38"/>
      <c r="W64" s="38"/>
      <c r="X64" s="38"/>
      <c r="Y64" s="38"/>
      <c r="Z64" s="38"/>
      <c r="AA64" s="38"/>
      <c r="AB64" s="38"/>
      <c r="AC64" s="38"/>
      <c r="AD64" s="38"/>
      <c r="AE64" s="30"/>
      <c r="AF64" s="177"/>
      <c r="AG64" s="177"/>
      <c r="AH64" s="177"/>
      <c r="AI64" s="177"/>
      <c r="AJ64" s="177"/>
      <c r="AK64" s="177"/>
      <c r="AL64" s="177"/>
      <c r="AM64" s="177"/>
      <c r="AN64" s="177"/>
      <c r="AO64" s="177"/>
      <c r="AP64" s="166"/>
      <c r="AQ64" s="166"/>
      <c r="AR64" s="3"/>
      <c r="AS64" s="3"/>
      <c r="AT64" s="3"/>
      <c r="AU64" s="3"/>
      <c r="AV64" s="3"/>
      <c r="AW64" s="3"/>
      <c r="AX64" s="3"/>
      <c r="AY64" s="3"/>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row>
    <row r="65" spans="1:247" ht="91.5" hidden="1" customHeight="1" x14ac:dyDescent="0.3">
      <c r="A65" s="23">
        <v>17</v>
      </c>
      <c r="B65" s="24" t="s">
        <v>152</v>
      </c>
      <c r="C65" s="25" t="s">
        <v>107</v>
      </c>
      <c r="D65" s="25" t="s">
        <v>150</v>
      </c>
      <c r="E65" s="25">
        <v>2025</v>
      </c>
      <c r="F65" s="25" t="s">
        <v>153</v>
      </c>
      <c r="G65" s="26">
        <f t="shared" si="31"/>
        <v>640.92399999999998</v>
      </c>
      <c r="H65" s="26">
        <v>0</v>
      </c>
      <c r="I65" s="26">
        <v>0</v>
      </c>
      <c r="J65" s="35">
        <v>640.92399999999998</v>
      </c>
      <c r="K65" s="28"/>
      <c r="L65" s="28"/>
      <c r="M65" s="36"/>
      <c r="N65" s="37"/>
      <c r="O65" s="37"/>
      <c r="P65" s="28"/>
      <c r="Q65" s="37"/>
      <c r="R65" s="37"/>
      <c r="S65" s="37"/>
      <c r="T65" s="37"/>
      <c r="U65" s="38"/>
      <c r="V65" s="38"/>
      <c r="W65" s="38"/>
      <c r="X65" s="38"/>
      <c r="Y65" s="38"/>
      <c r="Z65" s="38"/>
      <c r="AA65" s="38"/>
      <c r="AB65" s="38"/>
      <c r="AC65" s="38"/>
      <c r="AD65" s="38"/>
      <c r="AE65" s="30"/>
      <c r="AF65" s="177"/>
      <c r="AG65" s="177"/>
      <c r="AH65" s="177"/>
      <c r="AI65" s="177"/>
      <c r="AJ65" s="177"/>
      <c r="AK65" s="177"/>
      <c r="AL65" s="177"/>
      <c r="AM65" s="177"/>
      <c r="AN65" s="177"/>
      <c r="AO65" s="177"/>
      <c r="AP65" s="166"/>
      <c r="AQ65" s="166"/>
      <c r="AR65" s="3"/>
      <c r="AS65" s="3"/>
      <c r="AT65" s="3"/>
      <c r="AU65" s="3"/>
      <c r="AV65" s="3"/>
      <c r="AW65" s="3"/>
      <c r="AX65" s="3"/>
      <c r="AY65" s="3"/>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row>
    <row r="66" spans="1:247" ht="91.5" hidden="1" customHeight="1" x14ac:dyDescent="0.3">
      <c r="A66" s="23">
        <v>18</v>
      </c>
      <c r="B66" s="24" t="s">
        <v>154</v>
      </c>
      <c r="C66" s="25" t="s">
        <v>107</v>
      </c>
      <c r="D66" s="25" t="s">
        <v>150</v>
      </c>
      <c r="E66" s="25" t="s">
        <v>150</v>
      </c>
      <c r="F66" s="25" t="s">
        <v>155</v>
      </c>
      <c r="G66" s="26">
        <f t="shared" si="31"/>
        <v>350</v>
      </c>
      <c r="H66" s="26">
        <v>0</v>
      </c>
      <c r="I66" s="26">
        <v>0</v>
      </c>
      <c r="J66" s="35">
        <v>350</v>
      </c>
      <c r="K66" s="28"/>
      <c r="L66" s="28"/>
      <c r="M66" s="36"/>
      <c r="N66" s="37"/>
      <c r="O66" s="37"/>
      <c r="P66" s="28"/>
      <c r="Q66" s="37"/>
      <c r="R66" s="37"/>
      <c r="S66" s="37"/>
      <c r="T66" s="37"/>
      <c r="U66" s="38"/>
      <c r="V66" s="38"/>
      <c r="W66" s="38"/>
      <c r="X66" s="38"/>
      <c r="Y66" s="38"/>
      <c r="Z66" s="38"/>
      <c r="AA66" s="38"/>
      <c r="AB66" s="38"/>
      <c r="AC66" s="38"/>
      <c r="AD66" s="38"/>
      <c r="AE66" s="30"/>
      <c r="AF66" s="177"/>
      <c r="AG66" s="177"/>
      <c r="AH66" s="177"/>
      <c r="AI66" s="177"/>
      <c r="AJ66" s="177"/>
      <c r="AK66" s="177"/>
      <c r="AL66" s="177"/>
      <c r="AM66" s="177"/>
      <c r="AN66" s="177"/>
      <c r="AO66" s="177"/>
      <c r="AP66" s="166"/>
      <c r="AQ66" s="166"/>
      <c r="AR66" s="3"/>
      <c r="AS66" s="3"/>
      <c r="AT66" s="3"/>
      <c r="AU66" s="3"/>
      <c r="AV66" s="3"/>
      <c r="AW66" s="3"/>
      <c r="AX66" s="3"/>
      <c r="AY66" s="3"/>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row>
    <row r="67" spans="1:247" ht="91.5" hidden="1" customHeight="1" x14ac:dyDescent="0.3">
      <c r="A67" s="23">
        <v>19</v>
      </c>
      <c r="B67" s="24" t="s">
        <v>156</v>
      </c>
      <c r="C67" s="25" t="s">
        <v>107</v>
      </c>
      <c r="D67" s="25" t="s">
        <v>157</v>
      </c>
      <c r="E67" s="25" t="s">
        <v>108</v>
      </c>
      <c r="F67" s="25" t="s">
        <v>158</v>
      </c>
      <c r="G67" s="26">
        <f t="shared" si="31"/>
        <v>415</v>
      </c>
      <c r="H67" s="26">
        <v>0</v>
      </c>
      <c r="I67" s="26">
        <v>0</v>
      </c>
      <c r="J67" s="35">
        <v>415</v>
      </c>
      <c r="K67" s="28"/>
      <c r="L67" s="28"/>
      <c r="M67" s="36"/>
      <c r="N67" s="37"/>
      <c r="O67" s="37"/>
      <c r="P67" s="28"/>
      <c r="Q67" s="37"/>
      <c r="R67" s="37"/>
      <c r="S67" s="37"/>
      <c r="T67" s="37"/>
      <c r="U67" s="38"/>
      <c r="V67" s="38"/>
      <c r="W67" s="38"/>
      <c r="X67" s="38"/>
      <c r="Y67" s="38"/>
      <c r="Z67" s="38"/>
      <c r="AA67" s="38"/>
      <c r="AB67" s="38"/>
      <c r="AC67" s="38"/>
      <c r="AD67" s="38"/>
      <c r="AE67" s="30"/>
      <c r="AF67" s="177"/>
      <c r="AG67" s="177"/>
      <c r="AH67" s="177"/>
      <c r="AI67" s="177"/>
      <c r="AJ67" s="177"/>
      <c r="AK67" s="177"/>
      <c r="AL67" s="177"/>
      <c r="AM67" s="177"/>
      <c r="AN67" s="177"/>
      <c r="AO67" s="177"/>
      <c r="AP67" s="166"/>
      <c r="AQ67" s="166"/>
      <c r="AR67" s="3"/>
      <c r="AS67" s="3"/>
      <c r="AT67" s="3"/>
      <c r="AU67" s="3"/>
      <c r="AV67" s="3"/>
      <c r="AW67" s="3"/>
      <c r="AX67" s="3"/>
      <c r="AY67" s="3"/>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row>
    <row r="68" spans="1:247" ht="91.5" hidden="1" customHeight="1" x14ac:dyDescent="0.3">
      <c r="A68" s="23">
        <v>20</v>
      </c>
      <c r="B68" s="24" t="s">
        <v>159</v>
      </c>
      <c r="C68" s="25" t="s">
        <v>107</v>
      </c>
      <c r="D68" s="25" t="s">
        <v>160</v>
      </c>
      <c r="E68" s="25" t="s">
        <v>161</v>
      </c>
      <c r="F68" s="25" t="s">
        <v>162</v>
      </c>
      <c r="G68" s="26">
        <f t="shared" si="31"/>
        <v>200</v>
      </c>
      <c r="H68" s="26">
        <v>0</v>
      </c>
      <c r="I68" s="26">
        <v>0</v>
      </c>
      <c r="J68" s="35">
        <v>200</v>
      </c>
      <c r="K68" s="28"/>
      <c r="L68" s="28"/>
      <c r="M68" s="36"/>
      <c r="N68" s="37"/>
      <c r="O68" s="37"/>
      <c r="P68" s="28"/>
      <c r="Q68" s="37"/>
      <c r="R68" s="37"/>
      <c r="S68" s="37"/>
      <c r="T68" s="37"/>
      <c r="U68" s="38"/>
      <c r="V68" s="38"/>
      <c r="W68" s="38"/>
      <c r="X68" s="38"/>
      <c r="Y68" s="38"/>
      <c r="Z68" s="38"/>
      <c r="AA68" s="38"/>
      <c r="AB68" s="38"/>
      <c r="AC68" s="38"/>
      <c r="AD68" s="38"/>
      <c r="AE68" s="30"/>
      <c r="AF68" s="177"/>
      <c r="AG68" s="177"/>
      <c r="AH68" s="177"/>
      <c r="AI68" s="177"/>
      <c r="AJ68" s="177"/>
      <c r="AK68" s="177"/>
      <c r="AL68" s="177"/>
      <c r="AM68" s="177"/>
      <c r="AN68" s="177"/>
      <c r="AO68" s="177"/>
      <c r="AP68" s="166"/>
      <c r="AQ68" s="166"/>
      <c r="AR68" s="3"/>
      <c r="AS68" s="3"/>
      <c r="AT68" s="3"/>
      <c r="AU68" s="3"/>
      <c r="AV68" s="3"/>
      <c r="AW68" s="3"/>
      <c r="AX68" s="3"/>
      <c r="AY68" s="3"/>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row>
    <row r="69" spans="1:247" ht="91.5" hidden="1" customHeight="1" x14ac:dyDescent="0.3">
      <c r="A69" s="23">
        <v>21</v>
      </c>
      <c r="B69" s="24" t="s">
        <v>163</v>
      </c>
      <c r="C69" s="25" t="s">
        <v>107</v>
      </c>
      <c r="D69" s="25" t="s">
        <v>150</v>
      </c>
      <c r="E69" s="25">
        <v>2024</v>
      </c>
      <c r="F69" s="25" t="s">
        <v>164</v>
      </c>
      <c r="G69" s="26">
        <f t="shared" si="31"/>
        <v>13500</v>
      </c>
      <c r="H69" s="26">
        <v>0</v>
      </c>
      <c r="I69" s="26">
        <v>0</v>
      </c>
      <c r="J69" s="35">
        <v>13500</v>
      </c>
      <c r="K69" s="28"/>
      <c r="L69" s="28"/>
      <c r="M69" s="36"/>
      <c r="N69" s="37"/>
      <c r="O69" s="37"/>
      <c r="P69" s="28"/>
      <c r="Q69" s="37"/>
      <c r="R69" s="37"/>
      <c r="S69" s="37"/>
      <c r="T69" s="37"/>
      <c r="U69" s="38"/>
      <c r="V69" s="38"/>
      <c r="W69" s="38"/>
      <c r="X69" s="38"/>
      <c r="Y69" s="38"/>
      <c r="Z69" s="38"/>
      <c r="AA69" s="38"/>
      <c r="AB69" s="38"/>
      <c r="AC69" s="38"/>
      <c r="AD69" s="38"/>
      <c r="AE69" s="30"/>
      <c r="AF69" s="177"/>
      <c r="AG69" s="177"/>
      <c r="AH69" s="177"/>
      <c r="AI69" s="177"/>
      <c r="AJ69" s="177"/>
      <c r="AK69" s="177"/>
      <c r="AL69" s="177"/>
      <c r="AM69" s="177"/>
      <c r="AN69" s="177"/>
      <c r="AO69" s="177"/>
      <c r="AP69" s="166"/>
      <c r="AQ69" s="166"/>
      <c r="AR69" s="3"/>
      <c r="AS69" s="3"/>
      <c r="AT69" s="3"/>
      <c r="AU69" s="3"/>
      <c r="AV69" s="3"/>
      <c r="AW69" s="3"/>
      <c r="AX69" s="3"/>
      <c r="AY69" s="3"/>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row>
    <row r="70" spans="1:247" ht="91.5" hidden="1" customHeight="1" x14ac:dyDescent="0.3">
      <c r="A70" s="23">
        <v>22</v>
      </c>
      <c r="B70" s="24" t="s">
        <v>165</v>
      </c>
      <c r="C70" s="25" t="s">
        <v>107</v>
      </c>
      <c r="D70" s="25" t="s">
        <v>132</v>
      </c>
      <c r="E70" s="25">
        <v>2024</v>
      </c>
      <c r="F70" s="25" t="s">
        <v>166</v>
      </c>
      <c r="G70" s="26">
        <f t="shared" si="31"/>
        <v>2331.2670000000003</v>
      </c>
      <c r="H70" s="26">
        <v>0</v>
      </c>
      <c r="I70" s="26">
        <v>418.56</v>
      </c>
      <c r="J70" s="35">
        <v>1912.7070000000001</v>
      </c>
      <c r="K70" s="28"/>
      <c r="L70" s="28"/>
      <c r="M70" s="36"/>
      <c r="N70" s="37"/>
      <c r="O70" s="37"/>
      <c r="P70" s="28"/>
      <c r="Q70" s="37"/>
      <c r="R70" s="37"/>
      <c r="S70" s="37"/>
      <c r="T70" s="37"/>
      <c r="U70" s="38"/>
      <c r="V70" s="38"/>
      <c r="W70" s="38"/>
      <c r="X70" s="38"/>
      <c r="Y70" s="38"/>
      <c r="Z70" s="38"/>
      <c r="AA70" s="38"/>
      <c r="AB70" s="38"/>
      <c r="AC70" s="38"/>
      <c r="AD70" s="38"/>
      <c r="AE70" s="30"/>
      <c r="AF70" s="177"/>
      <c r="AG70" s="177"/>
      <c r="AH70" s="177"/>
      <c r="AI70" s="177"/>
      <c r="AJ70" s="177"/>
      <c r="AK70" s="177"/>
      <c r="AL70" s="177"/>
      <c r="AM70" s="177"/>
      <c r="AN70" s="177"/>
      <c r="AO70" s="177"/>
      <c r="AP70" s="166"/>
      <c r="AQ70" s="166"/>
      <c r="AR70" s="3"/>
      <c r="AS70" s="3"/>
      <c r="AT70" s="3"/>
      <c r="AU70" s="3"/>
      <c r="AV70" s="3"/>
      <c r="AW70" s="3"/>
      <c r="AX70" s="3"/>
      <c r="AY70" s="3"/>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row>
    <row r="71" spans="1:247" ht="91.5" hidden="1" customHeight="1" x14ac:dyDescent="0.3">
      <c r="A71" s="23">
        <v>23</v>
      </c>
      <c r="B71" s="24" t="s">
        <v>167</v>
      </c>
      <c r="C71" s="25" t="s">
        <v>107</v>
      </c>
      <c r="D71" s="25" t="s">
        <v>150</v>
      </c>
      <c r="E71" s="25" t="s">
        <v>168</v>
      </c>
      <c r="F71" s="25" t="s">
        <v>169</v>
      </c>
      <c r="G71" s="26">
        <f t="shared" si="31"/>
        <v>3700</v>
      </c>
      <c r="H71" s="26">
        <v>0</v>
      </c>
      <c r="I71" s="26">
        <v>1800</v>
      </c>
      <c r="J71" s="35">
        <v>1900</v>
      </c>
      <c r="K71" s="28"/>
      <c r="L71" s="28"/>
      <c r="M71" s="36"/>
      <c r="N71" s="37"/>
      <c r="O71" s="37"/>
      <c r="P71" s="28"/>
      <c r="Q71" s="37"/>
      <c r="R71" s="37"/>
      <c r="S71" s="37"/>
      <c r="T71" s="37"/>
      <c r="U71" s="38"/>
      <c r="V71" s="38"/>
      <c r="W71" s="38"/>
      <c r="X71" s="38"/>
      <c r="Y71" s="38"/>
      <c r="Z71" s="38"/>
      <c r="AA71" s="38"/>
      <c r="AB71" s="38"/>
      <c r="AC71" s="38"/>
      <c r="AD71" s="38"/>
      <c r="AE71" s="30"/>
      <c r="AF71" s="177"/>
      <c r="AG71" s="177"/>
      <c r="AH71" s="177"/>
      <c r="AI71" s="177"/>
      <c r="AJ71" s="177"/>
      <c r="AK71" s="177"/>
      <c r="AL71" s="177"/>
      <c r="AM71" s="177"/>
      <c r="AN71" s="177"/>
      <c r="AO71" s="177"/>
      <c r="AP71" s="166"/>
      <c r="AQ71" s="166"/>
      <c r="AR71" s="3"/>
      <c r="AS71" s="3"/>
      <c r="AT71" s="3"/>
      <c r="AU71" s="3"/>
      <c r="AV71" s="3"/>
      <c r="AW71" s="3"/>
      <c r="AX71" s="3"/>
      <c r="AY71" s="3"/>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row>
    <row r="72" spans="1:247" ht="91.5" customHeight="1" x14ac:dyDescent="0.3">
      <c r="A72" s="23">
        <v>1</v>
      </c>
      <c r="B72" s="24" t="s">
        <v>170</v>
      </c>
      <c r="C72" s="25" t="s">
        <v>107</v>
      </c>
      <c r="D72" s="25" t="s">
        <v>171</v>
      </c>
      <c r="E72" s="25"/>
      <c r="F72" s="25" t="s">
        <v>172</v>
      </c>
      <c r="G72" s="26">
        <f t="shared" si="31"/>
        <v>10000</v>
      </c>
      <c r="H72" s="26">
        <v>3000</v>
      </c>
      <c r="I72" s="26">
        <v>2500</v>
      </c>
      <c r="J72" s="35">
        <v>4500</v>
      </c>
      <c r="K72" s="28">
        <v>4283</v>
      </c>
      <c r="L72" s="104">
        <f>M72+N72+O72</f>
        <v>4283</v>
      </c>
      <c r="M72" s="36">
        <v>2000</v>
      </c>
      <c r="N72" s="37">
        <v>2140</v>
      </c>
      <c r="O72" s="37">
        <v>143</v>
      </c>
      <c r="P72" s="28"/>
      <c r="Q72" s="37"/>
      <c r="R72" s="37"/>
      <c r="S72" s="37"/>
      <c r="T72" s="37"/>
      <c r="U72" s="38">
        <f>Y72</f>
        <v>162</v>
      </c>
      <c r="V72" s="38"/>
      <c r="W72" s="38"/>
      <c r="X72" s="38"/>
      <c r="Y72" s="38">
        <v>162</v>
      </c>
      <c r="Z72" s="38"/>
      <c r="AA72" s="38"/>
      <c r="AB72" s="38"/>
      <c r="AC72" s="38"/>
      <c r="AD72" s="38"/>
      <c r="AE72" s="106"/>
      <c r="AF72" s="175">
        <v>4283</v>
      </c>
      <c r="AG72" s="175"/>
      <c r="AH72" s="175">
        <f>L72+U72</f>
        <v>4445</v>
      </c>
      <c r="AI72" s="175">
        <v>2000</v>
      </c>
      <c r="AJ72" s="175">
        <f>N72+Y72</f>
        <v>2302</v>
      </c>
      <c r="AK72" s="175">
        <v>143</v>
      </c>
      <c r="AL72" s="175">
        <f>G72-AH72</f>
        <v>5555</v>
      </c>
      <c r="AM72" s="175">
        <f>H72-AI72</f>
        <v>1000</v>
      </c>
      <c r="AN72" s="175">
        <f>I72-AJ72</f>
        <v>198</v>
      </c>
      <c r="AO72" s="175">
        <f>AL72-AM72-AN72</f>
        <v>4357</v>
      </c>
      <c r="AP72" s="166"/>
      <c r="AQ72" s="166"/>
      <c r="AR72" s="3"/>
      <c r="AS72" s="3"/>
      <c r="AT72" s="3"/>
      <c r="AU72" s="3"/>
      <c r="AV72" s="3"/>
      <c r="AW72" s="3"/>
      <c r="AX72" s="3"/>
      <c r="AY72" s="3"/>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row>
    <row r="73" spans="1:247" x14ac:dyDescent="0.3">
      <c r="A73" s="16">
        <v>5</v>
      </c>
      <c r="B73" s="70" t="s">
        <v>173</v>
      </c>
      <c r="C73" s="20"/>
      <c r="D73" s="20"/>
      <c r="E73" s="20"/>
      <c r="F73" s="20"/>
      <c r="G73" s="21">
        <f>ROUND(G74,0)</f>
        <v>4500</v>
      </c>
      <c r="H73" s="21">
        <f t="shared" ref="H73:AO73" si="32">ROUND(H74,0)</f>
        <v>0</v>
      </c>
      <c r="I73" s="21">
        <f t="shared" si="32"/>
        <v>3000</v>
      </c>
      <c r="J73" s="21">
        <f t="shared" si="32"/>
        <v>1500</v>
      </c>
      <c r="K73" s="21">
        <f t="shared" si="32"/>
        <v>0</v>
      </c>
      <c r="L73" s="21">
        <f t="shared" si="32"/>
        <v>0</v>
      </c>
      <c r="M73" s="21">
        <f t="shared" si="32"/>
        <v>0</v>
      </c>
      <c r="N73" s="21">
        <f t="shared" si="32"/>
        <v>0</v>
      </c>
      <c r="O73" s="21">
        <f t="shared" si="32"/>
        <v>0</v>
      </c>
      <c r="P73" s="21">
        <f t="shared" si="32"/>
        <v>0</v>
      </c>
      <c r="Q73" s="21">
        <f t="shared" si="32"/>
        <v>0</v>
      </c>
      <c r="R73" s="21">
        <f t="shared" si="32"/>
        <v>0</v>
      </c>
      <c r="S73" s="21">
        <f t="shared" si="32"/>
        <v>0</v>
      </c>
      <c r="T73" s="21">
        <f t="shared" si="32"/>
        <v>1812</v>
      </c>
      <c r="U73" s="21">
        <f t="shared" si="32"/>
        <v>2400</v>
      </c>
      <c r="V73" s="21">
        <f t="shared" si="32"/>
        <v>0</v>
      </c>
      <c r="W73" s="21">
        <f t="shared" si="32"/>
        <v>0</v>
      </c>
      <c r="X73" s="21">
        <f t="shared" si="32"/>
        <v>0</v>
      </c>
      <c r="Y73" s="21">
        <f t="shared" si="32"/>
        <v>2400</v>
      </c>
      <c r="Z73" s="21">
        <f t="shared" si="32"/>
        <v>0</v>
      </c>
      <c r="AA73" s="21">
        <f t="shared" si="32"/>
        <v>0</v>
      </c>
      <c r="AB73" s="21">
        <f t="shared" si="32"/>
        <v>0</v>
      </c>
      <c r="AC73" s="21">
        <f t="shared" si="32"/>
        <v>0</v>
      </c>
      <c r="AD73" s="21">
        <f t="shared" si="32"/>
        <v>0</v>
      </c>
      <c r="AE73" s="21">
        <f t="shared" si="32"/>
        <v>0</v>
      </c>
      <c r="AF73" s="173">
        <f t="shared" si="32"/>
        <v>1812</v>
      </c>
      <c r="AG73" s="173">
        <f t="shared" si="32"/>
        <v>0</v>
      </c>
      <c r="AH73" s="173">
        <f t="shared" si="32"/>
        <v>2500</v>
      </c>
      <c r="AI73" s="173">
        <f t="shared" si="32"/>
        <v>0</v>
      </c>
      <c r="AJ73" s="173">
        <f t="shared" si="32"/>
        <v>2500</v>
      </c>
      <c r="AK73" s="173">
        <f t="shared" si="32"/>
        <v>0</v>
      </c>
      <c r="AL73" s="173">
        <f t="shared" si="32"/>
        <v>2000</v>
      </c>
      <c r="AM73" s="173">
        <f t="shared" si="32"/>
        <v>0</v>
      </c>
      <c r="AN73" s="173">
        <f t="shared" si="32"/>
        <v>500</v>
      </c>
      <c r="AO73" s="173">
        <f t="shared" si="32"/>
        <v>1500</v>
      </c>
      <c r="AP73" s="166"/>
      <c r="AQ73" s="166"/>
      <c r="AR73" s="3"/>
      <c r="AS73" s="3"/>
      <c r="AT73" s="3"/>
      <c r="AU73" s="3"/>
      <c r="AV73" s="3"/>
      <c r="AW73" s="3"/>
      <c r="AX73" s="3"/>
      <c r="AY73" s="3"/>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row>
    <row r="74" spans="1:247" ht="78" customHeight="1" x14ac:dyDescent="0.3">
      <c r="A74" s="16">
        <v>1</v>
      </c>
      <c r="B74" s="24" t="s">
        <v>174</v>
      </c>
      <c r="C74" s="25" t="s">
        <v>175</v>
      </c>
      <c r="D74" s="25">
        <v>2024</v>
      </c>
      <c r="E74" s="25">
        <v>2026</v>
      </c>
      <c r="F74" s="25" t="s">
        <v>176</v>
      </c>
      <c r="G74" s="104">
        <f>I74+J74</f>
        <v>4500</v>
      </c>
      <c r="H74" s="104"/>
      <c r="I74" s="104">
        <v>3000</v>
      </c>
      <c r="J74" s="104">
        <v>1500</v>
      </c>
      <c r="K74" s="104"/>
      <c r="L74" s="104"/>
      <c r="M74" s="104"/>
      <c r="N74" s="104"/>
      <c r="O74" s="104"/>
      <c r="P74" s="104"/>
      <c r="Q74" s="104"/>
      <c r="R74" s="104"/>
      <c r="S74" s="104"/>
      <c r="T74" s="104">
        <f>1584+228</f>
        <v>1812</v>
      </c>
      <c r="U74" s="105">
        <f>V74+W74+X74+Y74+Z74+AA74</f>
        <v>2400</v>
      </c>
      <c r="V74" s="105"/>
      <c r="W74" s="105"/>
      <c r="X74" s="105"/>
      <c r="Y74" s="105">
        <v>2400</v>
      </c>
      <c r="Z74" s="105"/>
      <c r="AA74" s="105"/>
      <c r="AB74" s="105"/>
      <c r="AC74" s="105"/>
      <c r="AD74" s="105"/>
      <c r="AE74" s="105"/>
      <c r="AF74" s="175">
        <f>T74</f>
        <v>1812</v>
      </c>
      <c r="AG74" s="175"/>
      <c r="AH74" s="175">
        <f>AI74+AJ74+AK74</f>
        <v>2500</v>
      </c>
      <c r="AI74" s="175"/>
      <c r="AJ74" s="175">
        <v>2500</v>
      </c>
      <c r="AK74" s="175"/>
      <c r="AL74" s="175">
        <f>G74-AH74</f>
        <v>2000</v>
      </c>
      <c r="AM74" s="175"/>
      <c r="AN74" s="175">
        <f>I74-AH74</f>
        <v>500</v>
      </c>
      <c r="AO74" s="175">
        <f>J74-AA74</f>
        <v>1500</v>
      </c>
      <c r="AP74" s="166"/>
      <c r="AQ74" s="166"/>
      <c r="AR74" s="3"/>
      <c r="AS74" s="3"/>
      <c r="AT74" s="3"/>
      <c r="AU74" s="3"/>
      <c r="AV74" s="3"/>
      <c r="AW74" s="3"/>
      <c r="AX74" s="3"/>
      <c r="AY74" s="3"/>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row>
    <row r="75" spans="1:247" ht="37.950000000000003" hidden="1" customHeight="1" x14ac:dyDescent="0.3">
      <c r="A75" s="41" t="s">
        <v>71</v>
      </c>
      <c r="B75" s="42" t="s">
        <v>177</v>
      </c>
      <c r="C75" s="43"/>
      <c r="D75" s="44"/>
      <c r="E75" s="44"/>
      <c r="F75" s="44"/>
      <c r="G75" s="45">
        <f>SUM(G76:G107)</f>
        <v>235848.755</v>
      </c>
      <c r="H75" s="45">
        <f t="shared" ref="H75:J75" si="33">SUM(H76:H107)</f>
        <v>0</v>
      </c>
      <c r="I75" s="45">
        <f t="shared" si="33"/>
        <v>2280</v>
      </c>
      <c r="J75" s="45">
        <f t="shared" si="33"/>
        <v>233568.755</v>
      </c>
      <c r="K75" s="45"/>
      <c r="L75" s="45"/>
      <c r="M75" s="45"/>
      <c r="N75" s="45"/>
      <c r="O75" s="45"/>
      <c r="P75" s="45"/>
      <c r="Q75" s="45"/>
      <c r="R75" s="45"/>
      <c r="S75" s="45"/>
      <c r="T75" s="45"/>
      <c r="U75" s="46"/>
      <c r="V75" s="47"/>
      <c r="W75" s="47"/>
      <c r="X75" s="47"/>
      <c r="Y75" s="47"/>
      <c r="Z75" s="47"/>
      <c r="AA75" s="47"/>
      <c r="AB75" s="47"/>
      <c r="AC75" s="30"/>
      <c r="AD75" s="30"/>
      <c r="AE75" s="30"/>
      <c r="AF75" s="177"/>
      <c r="AG75" s="177"/>
      <c r="AH75" s="177"/>
      <c r="AI75" s="177"/>
      <c r="AJ75" s="177"/>
      <c r="AK75" s="177"/>
      <c r="AL75" s="177"/>
      <c r="AM75" s="177"/>
      <c r="AN75" s="177"/>
      <c r="AO75" s="177"/>
      <c r="AP75" s="166"/>
      <c r="AQ75" s="166"/>
      <c r="AR75" s="3"/>
      <c r="AS75" s="3"/>
      <c r="AT75" s="3"/>
      <c r="AU75" s="3"/>
      <c r="AV75" s="3"/>
      <c r="AW75" s="3"/>
      <c r="AX75" s="3"/>
      <c r="AY75" s="3"/>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row>
    <row r="76" spans="1:247" s="10" customFormat="1" ht="55.5" hidden="1" customHeight="1" x14ac:dyDescent="0.3">
      <c r="A76" s="48">
        <v>1</v>
      </c>
      <c r="B76" s="49" t="s">
        <v>178</v>
      </c>
      <c r="C76" s="50" t="s">
        <v>175</v>
      </c>
      <c r="D76" s="50">
        <v>2020</v>
      </c>
      <c r="E76" s="51">
        <v>2022</v>
      </c>
      <c r="F76" s="50" t="s">
        <v>179</v>
      </c>
      <c r="G76" s="52">
        <v>11424.754999999999</v>
      </c>
      <c r="H76" s="52"/>
      <c r="I76" s="52"/>
      <c r="J76" s="52">
        <f>G76-H76-I76</f>
        <v>11424.754999999999</v>
      </c>
      <c r="K76" s="52"/>
      <c r="L76" s="52"/>
      <c r="M76" s="52"/>
      <c r="N76" s="52"/>
      <c r="O76" s="52"/>
      <c r="P76" s="52"/>
      <c r="Q76" s="52"/>
      <c r="R76" s="52"/>
      <c r="S76" s="52"/>
      <c r="T76" s="53"/>
      <c r="U76" s="22"/>
      <c r="V76" s="54"/>
      <c r="W76" s="22"/>
      <c r="X76" s="22"/>
      <c r="Y76" s="22"/>
      <c r="Z76" s="22"/>
      <c r="AA76" s="53"/>
      <c r="AB76" s="53"/>
      <c r="AC76" s="31"/>
      <c r="AD76" s="31"/>
      <c r="AE76" s="31"/>
      <c r="AF76" s="177"/>
      <c r="AG76" s="177"/>
      <c r="AH76" s="177"/>
      <c r="AI76" s="177"/>
      <c r="AJ76" s="177"/>
      <c r="AK76" s="177"/>
      <c r="AL76" s="177"/>
      <c r="AM76" s="177"/>
      <c r="AN76" s="177"/>
      <c r="AO76" s="177"/>
      <c r="AP76" s="166"/>
      <c r="AQ76" s="166"/>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row>
    <row r="77" spans="1:247" s="10" customFormat="1" ht="60.75" hidden="1" customHeight="1" x14ac:dyDescent="0.3">
      <c r="A77" s="48">
        <v>2</v>
      </c>
      <c r="B77" s="49" t="s">
        <v>180</v>
      </c>
      <c r="C77" s="50" t="s">
        <v>175</v>
      </c>
      <c r="D77" s="50">
        <v>2021</v>
      </c>
      <c r="E77" s="51">
        <v>2023</v>
      </c>
      <c r="F77" s="55" t="s">
        <v>181</v>
      </c>
      <c r="G77" s="28">
        <v>14630</v>
      </c>
      <c r="H77" s="28"/>
      <c r="I77" s="28"/>
      <c r="J77" s="28">
        <f>G77</f>
        <v>14630</v>
      </c>
      <c r="K77" s="28"/>
      <c r="L77" s="28"/>
      <c r="M77" s="28"/>
      <c r="N77" s="28"/>
      <c r="O77" s="28"/>
      <c r="P77" s="28"/>
      <c r="Q77" s="28"/>
      <c r="R77" s="28"/>
      <c r="S77" s="28"/>
      <c r="T77" s="52"/>
      <c r="U77" s="53"/>
      <c r="V77" s="53"/>
      <c r="W77" s="53"/>
      <c r="X77" s="53"/>
      <c r="Y77" s="53"/>
      <c r="Z77" s="53"/>
      <c r="AA77" s="53"/>
      <c r="AB77" s="53"/>
      <c r="AC77" s="31"/>
      <c r="AD77" s="31"/>
      <c r="AE77" s="31"/>
      <c r="AF77" s="177"/>
      <c r="AG77" s="177"/>
      <c r="AH77" s="177"/>
      <c r="AI77" s="177"/>
      <c r="AJ77" s="177"/>
      <c r="AK77" s="177"/>
      <c r="AL77" s="177"/>
      <c r="AM77" s="177"/>
      <c r="AN77" s="177"/>
      <c r="AO77" s="177"/>
      <c r="AP77" s="166"/>
      <c r="AQ77" s="166"/>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row>
    <row r="78" spans="1:247" s="10" customFormat="1" ht="70.5" hidden="1" customHeight="1" x14ac:dyDescent="0.3">
      <c r="A78" s="48">
        <v>3</v>
      </c>
      <c r="B78" s="49" t="s">
        <v>182</v>
      </c>
      <c r="C78" s="50" t="s">
        <v>175</v>
      </c>
      <c r="D78" s="50">
        <v>2021</v>
      </c>
      <c r="E78" s="51">
        <v>2023</v>
      </c>
      <c r="F78" s="50" t="s">
        <v>183</v>
      </c>
      <c r="G78" s="39">
        <v>25000</v>
      </c>
      <c r="H78" s="28"/>
      <c r="I78" s="39"/>
      <c r="J78" s="39">
        <v>25000</v>
      </c>
      <c r="K78" s="28"/>
      <c r="L78" s="28"/>
      <c r="M78" s="28"/>
      <c r="N78" s="28"/>
      <c r="O78" s="28"/>
      <c r="P78" s="28"/>
      <c r="Q78" s="28"/>
      <c r="R78" s="28"/>
      <c r="S78" s="28"/>
      <c r="T78" s="52"/>
      <c r="U78" s="53"/>
      <c r="V78" s="53"/>
      <c r="W78" s="53"/>
      <c r="X78" s="53"/>
      <c r="Y78" s="53"/>
      <c r="Z78" s="53"/>
      <c r="AA78" s="53"/>
      <c r="AB78" s="53"/>
      <c r="AC78" s="31"/>
      <c r="AD78" s="31"/>
      <c r="AE78" s="31"/>
      <c r="AF78" s="177"/>
      <c r="AG78" s="177"/>
      <c r="AH78" s="177"/>
      <c r="AI78" s="177"/>
      <c r="AJ78" s="177"/>
      <c r="AK78" s="177"/>
      <c r="AL78" s="177"/>
      <c r="AM78" s="177"/>
      <c r="AN78" s="177"/>
      <c r="AO78" s="177"/>
      <c r="AP78" s="166"/>
      <c r="AQ78" s="166"/>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row>
    <row r="79" spans="1:247" s="10" customFormat="1" ht="74.25" hidden="1" customHeight="1" x14ac:dyDescent="0.3">
      <c r="A79" s="48">
        <v>4</v>
      </c>
      <c r="B79" s="49" t="s">
        <v>184</v>
      </c>
      <c r="C79" s="50" t="s">
        <v>175</v>
      </c>
      <c r="D79" s="50">
        <v>2021</v>
      </c>
      <c r="E79" s="51">
        <v>2023</v>
      </c>
      <c r="F79" s="56" t="s">
        <v>185</v>
      </c>
      <c r="G79" s="39">
        <v>8626</v>
      </c>
      <c r="H79" s="28"/>
      <c r="I79" s="39"/>
      <c r="J79" s="39">
        <f t="shared" ref="J79:J90" si="34">G79</f>
        <v>8626</v>
      </c>
      <c r="K79" s="28"/>
      <c r="L79" s="28"/>
      <c r="M79" s="28"/>
      <c r="N79" s="28"/>
      <c r="O79" s="28"/>
      <c r="P79" s="28"/>
      <c r="Q79" s="28"/>
      <c r="R79" s="28"/>
      <c r="S79" s="28"/>
      <c r="T79" s="52"/>
      <c r="U79" s="53"/>
      <c r="V79" s="53"/>
      <c r="W79" s="53"/>
      <c r="X79" s="53"/>
      <c r="Y79" s="53"/>
      <c r="Z79" s="53"/>
      <c r="AA79" s="53"/>
      <c r="AB79" s="53"/>
      <c r="AC79" s="31"/>
      <c r="AD79" s="31"/>
      <c r="AE79" s="31"/>
      <c r="AF79" s="177"/>
      <c r="AG79" s="177"/>
      <c r="AH79" s="177"/>
      <c r="AI79" s="177"/>
      <c r="AJ79" s="177"/>
      <c r="AK79" s="177"/>
      <c r="AL79" s="177"/>
      <c r="AM79" s="177"/>
      <c r="AN79" s="177"/>
      <c r="AO79" s="177"/>
      <c r="AP79" s="166"/>
      <c r="AQ79" s="166"/>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row>
    <row r="80" spans="1:247" s="10" customFormat="1" ht="74.25" hidden="1" customHeight="1" x14ac:dyDescent="0.3">
      <c r="A80" s="48">
        <v>5</v>
      </c>
      <c r="B80" s="49" t="s">
        <v>186</v>
      </c>
      <c r="C80" s="50" t="s">
        <v>175</v>
      </c>
      <c r="D80" s="50">
        <v>2021</v>
      </c>
      <c r="E80" s="51">
        <v>2023</v>
      </c>
      <c r="F80" s="56" t="s">
        <v>187</v>
      </c>
      <c r="G80" s="39">
        <v>8813</v>
      </c>
      <c r="H80" s="28"/>
      <c r="I80" s="39"/>
      <c r="J80" s="39">
        <f t="shared" si="34"/>
        <v>8813</v>
      </c>
      <c r="K80" s="28"/>
      <c r="L80" s="28"/>
      <c r="M80" s="28"/>
      <c r="N80" s="28"/>
      <c r="O80" s="28"/>
      <c r="P80" s="28"/>
      <c r="Q80" s="28"/>
      <c r="R80" s="28"/>
      <c r="S80" s="28"/>
      <c r="T80" s="52"/>
      <c r="U80" s="53"/>
      <c r="V80" s="53"/>
      <c r="W80" s="53"/>
      <c r="X80" s="53"/>
      <c r="Y80" s="53"/>
      <c r="Z80" s="53"/>
      <c r="AA80" s="53"/>
      <c r="AB80" s="53"/>
      <c r="AC80" s="31"/>
      <c r="AD80" s="31"/>
      <c r="AE80" s="31"/>
      <c r="AF80" s="177"/>
      <c r="AG80" s="177"/>
      <c r="AH80" s="177"/>
      <c r="AI80" s="177"/>
      <c r="AJ80" s="177"/>
      <c r="AK80" s="177"/>
      <c r="AL80" s="177"/>
      <c r="AM80" s="177"/>
      <c r="AN80" s="177"/>
      <c r="AO80" s="177"/>
      <c r="AP80" s="166"/>
      <c r="AQ80" s="166"/>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row>
    <row r="81" spans="1:247" s="10" customFormat="1" ht="66" hidden="1" customHeight="1" x14ac:dyDescent="0.3">
      <c r="A81" s="48">
        <v>6</v>
      </c>
      <c r="B81" s="49" t="s">
        <v>188</v>
      </c>
      <c r="C81" s="50" t="s">
        <v>175</v>
      </c>
      <c r="D81" s="50">
        <v>2021</v>
      </c>
      <c r="E81" s="51">
        <v>2023</v>
      </c>
      <c r="F81" s="56" t="s">
        <v>189</v>
      </c>
      <c r="G81" s="39">
        <v>9426</v>
      </c>
      <c r="H81" s="28"/>
      <c r="I81" s="39"/>
      <c r="J81" s="39">
        <f t="shared" si="34"/>
        <v>9426</v>
      </c>
      <c r="K81" s="28"/>
      <c r="L81" s="28"/>
      <c r="M81" s="28"/>
      <c r="N81" s="28"/>
      <c r="O81" s="28"/>
      <c r="P81" s="28"/>
      <c r="Q81" s="28"/>
      <c r="R81" s="28"/>
      <c r="S81" s="28"/>
      <c r="T81" s="52"/>
      <c r="U81" s="53"/>
      <c r="V81" s="53"/>
      <c r="W81" s="53"/>
      <c r="X81" s="53"/>
      <c r="Y81" s="53"/>
      <c r="Z81" s="53"/>
      <c r="AA81" s="53"/>
      <c r="AB81" s="53"/>
      <c r="AC81" s="31"/>
      <c r="AD81" s="31"/>
      <c r="AE81" s="31"/>
      <c r="AF81" s="177"/>
      <c r="AG81" s="177"/>
      <c r="AH81" s="177"/>
      <c r="AI81" s="177"/>
      <c r="AJ81" s="177"/>
      <c r="AK81" s="177"/>
      <c r="AL81" s="177"/>
      <c r="AM81" s="177"/>
      <c r="AN81" s="177"/>
      <c r="AO81" s="177"/>
      <c r="AP81" s="166"/>
      <c r="AQ81" s="166"/>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row>
    <row r="82" spans="1:247" s="10" customFormat="1" ht="74.25" hidden="1" customHeight="1" x14ac:dyDescent="0.3">
      <c r="A82" s="48">
        <v>7</v>
      </c>
      <c r="B82" s="49" t="s">
        <v>190</v>
      </c>
      <c r="C82" s="50" t="s">
        <v>175</v>
      </c>
      <c r="D82" s="50">
        <v>2021</v>
      </c>
      <c r="E82" s="51">
        <v>2023</v>
      </c>
      <c r="F82" s="50" t="s">
        <v>191</v>
      </c>
      <c r="G82" s="39">
        <v>8985</v>
      </c>
      <c r="H82" s="28"/>
      <c r="I82" s="39"/>
      <c r="J82" s="39">
        <f t="shared" si="34"/>
        <v>8985</v>
      </c>
      <c r="K82" s="28"/>
      <c r="L82" s="28"/>
      <c r="M82" s="28"/>
      <c r="N82" s="28"/>
      <c r="O82" s="28"/>
      <c r="P82" s="28"/>
      <c r="Q82" s="28"/>
      <c r="R82" s="28"/>
      <c r="S82" s="28"/>
      <c r="T82" s="52"/>
      <c r="U82" s="53"/>
      <c r="V82" s="53"/>
      <c r="W82" s="53"/>
      <c r="X82" s="53"/>
      <c r="Y82" s="53"/>
      <c r="Z82" s="53"/>
      <c r="AA82" s="53"/>
      <c r="AB82" s="53"/>
      <c r="AC82" s="31"/>
      <c r="AD82" s="31"/>
      <c r="AE82" s="31"/>
      <c r="AF82" s="177"/>
      <c r="AG82" s="177"/>
      <c r="AH82" s="177"/>
      <c r="AI82" s="177"/>
      <c r="AJ82" s="177"/>
      <c r="AK82" s="177"/>
      <c r="AL82" s="177"/>
      <c r="AM82" s="177"/>
      <c r="AN82" s="177"/>
      <c r="AO82" s="177"/>
      <c r="AP82" s="166"/>
      <c r="AQ82" s="166"/>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row>
    <row r="83" spans="1:247" s="10" customFormat="1" ht="64.2" hidden="1" customHeight="1" x14ac:dyDescent="0.3">
      <c r="A83" s="48">
        <v>8</v>
      </c>
      <c r="B83" s="49" t="s">
        <v>192</v>
      </c>
      <c r="C83" s="50" t="s">
        <v>175</v>
      </c>
      <c r="D83" s="50">
        <v>2021</v>
      </c>
      <c r="E83" s="51">
        <v>2023</v>
      </c>
      <c r="F83" s="50" t="s">
        <v>193</v>
      </c>
      <c r="G83" s="39">
        <v>8481</v>
      </c>
      <c r="H83" s="28"/>
      <c r="I83" s="39"/>
      <c r="J83" s="39">
        <f t="shared" si="34"/>
        <v>8481</v>
      </c>
      <c r="K83" s="28"/>
      <c r="L83" s="28"/>
      <c r="M83" s="28"/>
      <c r="N83" s="28"/>
      <c r="O83" s="28"/>
      <c r="P83" s="28"/>
      <c r="Q83" s="28"/>
      <c r="R83" s="28"/>
      <c r="S83" s="28"/>
      <c r="T83" s="52"/>
      <c r="U83" s="53"/>
      <c r="V83" s="53"/>
      <c r="W83" s="53"/>
      <c r="X83" s="53"/>
      <c r="Y83" s="53"/>
      <c r="Z83" s="53"/>
      <c r="AA83" s="53"/>
      <c r="AB83" s="53"/>
      <c r="AC83" s="31"/>
      <c r="AD83" s="31"/>
      <c r="AE83" s="31"/>
      <c r="AF83" s="177"/>
      <c r="AG83" s="177"/>
      <c r="AH83" s="177"/>
      <c r="AI83" s="177"/>
      <c r="AJ83" s="177"/>
      <c r="AK83" s="177"/>
      <c r="AL83" s="177"/>
      <c r="AM83" s="177"/>
      <c r="AN83" s="177"/>
      <c r="AO83" s="177"/>
      <c r="AP83" s="166"/>
      <c r="AQ83" s="166"/>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row>
    <row r="84" spans="1:247" s="10" customFormat="1" ht="74.25" hidden="1" customHeight="1" x14ac:dyDescent="0.3">
      <c r="A84" s="48">
        <v>9</v>
      </c>
      <c r="B84" s="49" t="s">
        <v>194</v>
      </c>
      <c r="C84" s="50" t="s">
        <v>175</v>
      </c>
      <c r="D84" s="50">
        <v>2021</v>
      </c>
      <c r="E84" s="51">
        <v>2023</v>
      </c>
      <c r="F84" s="56" t="s">
        <v>195</v>
      </c>
      <c r="G84" s="39">
        <v>10000</v>
      </c>
      <c r="H84" s="28"/>
      <c r="I84" s="39"/>
      <c r="J84" s="39">
        <f t="shared" si="34"/>
        <v>10000</v>
      </c>
      <c r="K84" s="28"/>
      <c r="L84" s="28"/>
      <c r="M84" s="28"/>
      <c r="N84" s="28"/>
      <c r="O84" s="28"/>
      <c r="P84" s="28"/>
      <c r="Q84" s="28"/>
      <c r="R84" s="28"/>
      <c r="S84" s="28"/>
      <c r="T84" s="52"/>
      <c r="U84" s="53"/>
      <c r="V84" s="53"/>
      <c r="W84" s="53"/>
      <c r="X84" s="53"/>
      <c r="Y84" s="53"/>
      <c r="Z84" s="53"/>
      <c r="AA84" s="53"/>
      <c r="AB84" s="53"/>
      <c r="AC84" s="31"/>
      <c r="AD84" s="31"/>
      <c r="AE84" s="31"/>
      <c r="AF84" s="177"/>
      <c r="AG84" s="177"/>
      <c r="AH84" s="177"/>
      <c r="AI84" s="177"/>
      <c r="AJ84" s="177"/>
      <c r="AK84" s="177"/>
      <c r="AL84" s="177"/>
      <c r="AM84" s="177"/>
      <c r="AN84" s="177"/>
      <c r="AO84" s="177"/>
      <c r="AP84" s="166"/>
      <c r="AQ84" s="166"/>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row>
    <row r="85" spans="1:247" s="10" customFormat="1" ht="71.400000000000006" hidden="1" customHeight="1" x14ac:dyDescent="0.3">
      <c r="A85" s="48">
        <v>10</v>
      </c>
      <c r="B85" s="49" t="s">
        <v>196</v>
      </c>
      <c r="C85" s="50" t="s">
        <v>175</v>
      </c>
      <c r="D85" s="50">
        <v>2022</v>
      </c>
      <c r="E85" s="50">
        <v>2023</v>
      </c>
      <c r="F85" s="56" t="s">
        <v>197</v>
      </c>
      <c r="G85" s="40">
        <v>3400</v>
      </c>
      <c r="H85" s="36"/>
      <c r="I85" s="28">
        <v>1800</v>
      </c>
      <c r="J85" s="36">
        <v>1600</v>
      </c>
      <c r="K85" s="28"/>
      <c r="L85" s="28"/>
      <c r="M85" s="36"/>
      <c r="N85" s="37"/>
      <c r="O85" s="37"/>
      <c r="P85" s="28"/>
      <c r="Q85" s="37"/>
      <c r="R85" s="37"/>
      <c r="S85" s="37"/>
      <c r="T85" s="38"/>
      <c r="U85" s="38"/>
      <c r="V85" s="38"/>
      <c r="W85" s="38"/>
      <c r="X85" s="38"/>
      <c r="Y85" s="38"/>
      <c r="Z85" s="38"/>
      <c r="AA85" s="38"/>
      <c r="AB85" s="38"/>
      <c r="AC85" s="31"/>
      <c r="AD85" s="31"/>
      <c r="AE85" s="31"/>
      <c r="AF85" s="177"/>
      <c r="AG85" s="177"/>
      <c r="AH85" s="177"/>
      <c r="AI85" s="177"/>
      <c r="AJ85" s="177"/>
      <c r="AK85" s="177"/>
      <c r="AL85" s="177"/>
      <c r="AM85" s="177"/>
      <c r="AN85" s="177"/>
      <c r="AO85" s="177"/>
      <c r="AP85" s="166"/>
      <c r="AQ85" s="166"/>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row>
    <row r="86" spans="1:247" s="10" customFormat="1" ht="62.4" hidden="1" customHeight="1" x14ac:dyDescent="0.3">
      <c r="A86" s="48">
        <v>11</v>
      </c>
      <c r="B86" s="57" t="s">
        <v>198</v>
      </c>
      <c r="C86" s="50" t="s">
        <v>175</v>
      </c>
      <c r="D86" s="50">
        <v>2022</v>
      </c>
      <c r="E86" s="50">
        <v>2023</v>
      </c>
      <c r="F86" s="50" t="s">
        <v>199</v>
      </c>
      <c r="G86" s="40">
        <v>1871</v>
      </c>
      <c r="H86" s="36"/>
      <c r="I86" s="28"/>
      <c r="J86" s="36">
        <f t="shared" si="34"/>
        <v>1871</v>
      </c>
      <c r="K86" s="28"/>
      <c r="L86" s="28"/>
      <c r="M86" s="36"/>
      <c r="N86" s="37"/>
      <c r="O86" s="37"/>
      <c r="P86" s="28"/>
      <c r="Q86" s="37"/>
      <c r="R86" s="37"/>
      <c r="S86" s="37"/>
      <c r="T86" s="38"/>
      <c r="U86" s="38"/>
      <c r="V86" s="38"/>
      <c r="W86" s="38"/>
      <c r="X86" s="38"/>
      <c r="Y86" s="38"/>
      <c r="Z86" s="38"/>
      <c r="AA86" s="38"/>
      <c r="AB86" s="38"/>
      <c r="AC86" s="31"/>
      <c r="AD86" s="31"/>
      <c r="AE86" s="31"/>
      <c r="AF86" s="177"/>
      <c r="AG86" s="177"/>
      <c r="AH86" s="177"/>
      <c r="AI86" s="177"/>
      <c r="AJ86" s="177"/>
      <c r="AK86" s="177"/>
      <c r="AL86" s="177"/>
      <c r="AM86" s="177"/>
      <c r="AN86" s="177"/>
      <c r="AO86" s="177"/>
      <c r="AP86" s="166"/>
      <c r="AQ86" s="166"/>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row>
    <row r="87" spans="1:247" s="10" customFormat="1" ht="63.6" hidden="1" customHeight="1" x14ac:dyDescent="0.3">
      <c r="A87" s="48">
        <v>12</v>
      </c>
      <c r="B87" s="58" t="s">
        <v>200</v>
      </c>
      <c r="C87" s="50" t="s">
        <v>175</v>
      </c>
      <c r="D87" s="50">
        <v>2022</v>
      </c>
      <c r="E87" s="50">
        <v>2023</v>
      </c>
      <c r="F87" s="50" t="s">
        <v>201</v>
      </c>
      <c r="G87" s="40">
        <v>1600</v>
      </c>
      <c r="H87" s="36"/>
      <c r="I87" s="28"/>
      <c r="J87" s="36">
        <f t="shared" si="34"/>
        <v>1600</v>
      </c>
      <c r="K87" s="28"/>
      <c r="L87" s="28"/>
      <c r="M87" s="36"/>
      <c r="N87" s="37"/>
      <c r="O87" s="37"/>
      <c r="P87" s="28"/>
      <c r="Q87" s="37"/>
      <c r="R87" s="37"/>
      <c r="S87" s="37"/>
      <c r="T87" s="38"/>
      <c r="U87" s="38"/>
      <c r="V87" s="38"/>
      <c r="W87" s="38"/>
      <c r="X87" s="38"/>
      <c r="Y87" s="38"/>
      <c r="Z87" s="38"/>
      <c r="AA87" s="38"/>
      <c r="AB87" s="38"/>
      <c r="AC87" s="31"/>
      <c r="AD87" s="31"/>
      <c r="AE87" s="31"/>
      <c r="AF87" s="177"/>
      <c r="AG87" s="177"/>
      <c r="AH87" s="177"/>
      <c r="AI87" s="177"/>
      <c r="AJ87" s="177"/>
      <c r="AK87" s="177"/>
      <c r="AL87" s="177"/>
      <c r="AM87" s="177"/>
      <c r="AN87" s="177"/>
      <c r="AO87" s="177"/>
      <c r="AP87" s="166"/>
      <c r="AQ87" s="166"/>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row>
    <row r="88" spans="1:247" s="10" customFormat="1" ht="69" hidden="1" customHeight="1" x14ac:dyDescent="0.3">
      <c r="A88" s="48">
        <v>13</v>
      </c>
      <c r="B88" s="24" t="s">
        <v>202</v>
      </c>
      <c r="C88" s="50" t="s">
        <v>175</v>
      </c>
      <c r="D88" s="50">
        <v>2022</v>
      </c>
      <c r="E88" s="50">
        <v>2023</v>
      </c>
      <c r="F88" s="50" t="s">
        <v>203</v>
      </c>
      <c r="G88" s="40">
        <v>1129</v>
      </c>
      <c r="H88" s="36"/>
      <c r="I88" s="28"/>
      <c r="J88" s="36">
        <f t="shared" si="34"/>
        <v>1129</v>
      </c>
      <c r="K88" s="28"/>
      <c r="L88" s="28"/>
      <c r="M88" s="36"/>
      <c r="N88" s="37"/>
      <c r="O88" s="37"/>
      <c r="P88" s="28"/>
      <c r="Q88" s="37"/>
      <c r="R88" s="37"/>
      <c r="S88" s="37"/>
      <c r="T88" s="38"/>
      <c r="U88" s="38"/>
      <c r="V88" s="38"/>
      <c r="W88" s="38"/>
      <c r="X88" s="38"/>
      <c r="Y88" s="38"/>
      <c r="Z88" s="38"/>
      <c r="AA88" s="38"/>
      <c r="AB88" s="38"/>
      <c r="AC88" s="31"/>
      <c r="AD88" s="31"/>
      <c r="AE88" s="31"/>
      <c r="AF88" s="177"/>
      <c r="AG88" s="177"/>
      <c r="AH88" s="177"/>
      <c r="AI88" s="177"/>
      <c r="AJ88" s="177"/>
      <c r="AK88" s="177"/>
      <c r="AL88" s="177"/>
      <c r="AM88" s="177"/>
      <c r="AN88" s="177"/>
      <c r="AO88" s="177"/>
      <c r="AP88" s="166"/>
      <c r="AQ88" s="166"/>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row>
    <row r="89" spans="1:247" s="10" customFormat="1" ht="66.599999999999994" hidden="1" customHeight="1" x14ac:dyDescent="0.3">
      <c r="A89" s="48">
        <v>14</v>
      </c>
      <c r="B89" s="49" t="s">
        <v>204</v>
      </c>
      <c r="C89" s="50" t="s">
        <v>175</v>
      </c>
      <c r="D89" s="50">
        <v>2021</v>
      </c>
      <c r="E89" s="50">
        <v>2023</v>
      </c>
      <c r="F89" s="50" t="s">
        <v>205</v>
      </c>
      <c r="G89" s="28">
        <v>14928</v>
      </c>
      <c r="H89" s="39"/>
      <c r="I89" s="28"/>
      <c r="J89" s="39">
        <f t="shared" si="34"/>
        <v>14928</v>
      </c>
      <c r="K89" s="28"/>
      <c r="L89" s="28"/>
      <c r="M89" s="36"/>
      <c r="N89" s="37"/>
      <c r="O89" s="37"/>
      <c r="P89" s="28"/>
      <c r="Q89" s="37"/>
      <c r="R89" s="37"/>
      <c r="S89" s="37"/>
      <c r="T89" s="38"/>
      <c r="U89" s="38"/>
      <c r="V89" s="38"/>
      <c r="W89" s="38"/>
      <c r="X89" s="38"/>
      <c r="Y89" s="38"/>
      <c r="Z89" s="38"/>
      <c r="AA89" s="38"/>
      <c r="AB89" s="38"/>
      <c r="AC89" s="31"/>
      <c r="AD89" s="31"/>
      <c r="AE89" s="31"/>
      <c r="AF89" s="177"/>
      <c r="AG89" s="177"/>
      <c r="AH89" s="177"/>
      <c r="AI89" s="177"/>
      <c r="AJ89" s="177"/>
      <c r="AK89" s="177"/>
      <c r="AL89" s="177"/>
      <c r="AM89" s="177"/>
      <c r="AN89" s="177"/>
      <c r="AO89" s="177"/>
      <c r="AP89" s="166"/>
      <c r="AQ89" s="166"/>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row>
    <row r="90" spans="1:247" s="10" customFormat="1" ht="78" hidden="1" customHeight="1" x14ac:dyDescent="0.3">
      <c r="A90" s="48">
        <v>15</v>
      </c>
      <c r="B90" s="49" t="s">
        <v>206</v>
      </c>
      <c r="C90" s="50" t="s">
        <v>175</v>
      </c>
      <c r="D90" s="50">
        <v>2022</v>
      </c>
      <c r="E90" s="50">
        <v>2023</v>
      </c>
      <c r="F90" s="50" t="s">
        <v>207</v>
      </c>
      <c r="G90" s="40">
        <v>1093</v>
      </c>
      <c r="H90" s="36"/>
      <c r="I90" s="28"/>
      <c r="J90" s="36">
        <f t="shared" si="34"/>
        <v>1093</v>
      </c>
      <c r="K90" s="28"/>
      <c r="L90" s="28"/>
      <c r="M90" s="36"/>
      <c r="N90" s="37"/>
      <c r="O90" s="37"/>
      <c r="P90" s="28"/>
      <c r="Q90" s="37"/>
      <c r="R90" s="37"/>
      <c r="S90" s="37"/>
      <c r="T90" s="38"/>
      <c r="U90" s="31"/>
      <c r="V90" s="31"/>
      <c r="W90" s="31"/>
      <c r="X90" s="31"/>
      <c r="Y90" s="31"/>
      <c r="Z90" s="31"/>
      <c r="AA90" s="31"/>
      <c r="AB90" s="31"/>
      <c r="AC90" s="31"/>
      <c r="AD90" s="31"/>
      <c r="AE90" s="31"/>
      <c r="AF90" s="177"/>
      <c r="AG90" s="177"/>
      <c r="AH90" s="177"/>
      <c r="AI90" s="177"/>
      <c r="AJ90" s="177"/>
      <c r="AK90" s="177"/>
      <c r="AL90" s="177"/>
      <c r="AM90" s="177"/>
      <c r="AN90" s="177"/>
      <c r="AO90" s="177"/>
      <c r="AP90" s="166"/>
      <c r="AQ90" s="166"/>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row>
    <row r="91" spans="1:247" s="10" customFormat="1" ht="91.5" hidden="1" customHeight="1" x14ac:dyDescent="0.3">
      <c r="A91" s="48">
        <v>16</v>
      </c>
      <c r="B91" s="49" t="s">
        <v>208</v>
      </c>
      <c r="C91" s="50" t="s">
        <v>175</v>
      </c>
      <c r="D91" s="50">
        <v>2022</v>
      </c>
      <c r="E91" s="50">
        <v>2023</v>
      </c>
      <c r="F91" s="50" t="s">
        <v>209</v>
      </c>
      <c r="G91" s="40">
        <v>1121</v>
      </c>
      <c r="H91" s="36"/>
      <c r="I91" s="28">
        <v>480</v>
      </c>
      <c r="J91" s="36">
        <v>641</v>
      </c>
      <c r="K91" s="28"/>
      <c r="L91" s="28"/>
      <c r="M91" s="36"/>
      <c r="N91" s="37"/>
      <c r="O91" s="37"/>
      <c r="P91" s="28"/>
      <c r="Q91" s="37"/>
      <c r="R91" s="37"/>
      <c r="S91" s="37"/>
      <c r="T91" s="38"/>
      <c r="U91" s="31"/>
      <c r="V91" s="31"/>
      <c r="W91" s="31"/>
      <c r="X91" s="31"/>
      <c r="Y91" s="31"/>
      <c r="Z91" s="31"/>
      <c r="AA91" s="31"/>
      <c r="AB91" s="31"/>
      <c r="AC91" s="31"/>
      <c r="AD91" s="31"/>
      <c r="AE91" s="31"/>
      <c r="AF91" s="177"/>
      <c r="AG91" s="177"/>
      <c r="AH91" s="177"/>
      <c r="AI91" s="177"/>
      <c r="AJ91" s="177"/>
      <c r="AK91" s="177"/>
      <c r="AL91" s="177"/>
      <c r="AM91" s="177"/>
      <c r="AN91" s="177"/>
      <c r="AO91" s="177"/>
      <c r="AP91" s="166"/>
      <c r="AQ91" s="166"/>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row>
    <row r="92" spans="1:247" s="10" customFormat="1" ht="75" hidden="1" customHeight="1" x14ac:dyDescent="0.3">
      <c r="A92" s="48">
        <v>17</v>
      </c>
      <c r="B92" s="49" t="s">
        <v>210</v>
      </c>
      <c r="C92" s="50" t="s">
        <v>175</v>
      </c>
      <c r="D92" s="50">
        <v>2022</v>
      </c>
      <c r="E92" s="50">
        <v>2023</v>
      </c>
      <c r="F92" s="59" t="s">
        <v>211</v>
      </c>
      <c r="G92" s="40">
        <v>900</v>
      </c>
      <c r="H92" s="36"/>
      <c r="I92" s="28"/>
      <c r="J92" s="36">
        <f>G92</f>
        <v>900</v>
      </c>
      <c r="K92" s="28"/>
      <c r="L92" s="28"/>
      <c r="M92" s="36"/>
      <c r="N92" s="37"/>
      <c r="O92" s="37"/>
      <c r="P92" s="28"/>
      <c r="Q92" s="37"/>
      <c r="R92" s="37"/>
      <c r="S92" s="37"/>
      <c r="T92" s="38"/>
      <c r="U92" s="31"/>
      <c r="V92" s="31"/>
      <c r="W92" s="31"/>
      <c r="X92" s="31"/>
      <c r="Y92" s="31"/>
      <c r="Z92" s="31"/>
      <c r="AA92" s="31"/>
      <c r="AB92" s="31"/>
      <c r="AC92" s="31"/>
      <c r="AD92" s="31"/>
      <c r="AE92" s="31"/>
      <c r="AF92" s="177"/>
      <c r="AG92" s="177"/>
      <c r="AH92" s="177"/>
      <c r="AI92" s="177"/>
      <c r="AJ92" s="177"/>
      <c r="AK92" s="177"/>
      <c r="AL92" s="177"/>
      <c r="AM92" s="177"/>
      <c r="AN92" s="177"/>
      <c r="AO92" s="177"/>
      <c r="AP92" s="166"/>
      <c r="AQ92" s="166"/>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row>
    <row r="93" spans="1:247" s="10" customFormat="1" ht="75" hidden="1" customHeight="1" x14ac:dyDescent="0.3">
      <c r="A93" s="48">
        <v>18</v>
      </c>
      <c r="B93" s="49" t="s">
        <v>212</v>
      </c>
      <c r="C93" s="50" t="s">
        <v>175</v>
      </c>
      <c r="D93" s="50">
        <v>2022</v>
      </c>
      <c r="E93" s="50">
        <v>2024</v>
      </c>
      <c r="F93" s="50" t="s">
        <v>213</v>
      </c>
      <c r="G93" s="40">
        <v>35000</v>
      </c>
      <c r="H93" s="36"/>
      <c r="I93" s="28"/>
      <c r="J93" s="36">
        <v>35000</v>
      </c>
      <c r="K93" s="28"/>
      <c r="L93" s="28"/>
      <c r="M93" s="36"/>
      <c r="N93" s="37"/>
      <c r="O93" s="37"/>
      <c r="P93" s="28"/>
      <c r="Q93" s="37"/>
      <c r="R93" s="37"/>
      <c r="S93" s="37"/>
      <c r="T93" s="38"/>
      <c r="U93" s="31"/>
      <c r="V93" s="31"/>
      <c r="W93" s="31"/>
      <c r="X93" s="31"/>
      <c r="Y93" s="31"/>
      <c r="Z93" s="31"/>
      <c r="AA93" s="31"/>
      <c r="AB93" s="31"/>
      <c r="AC93" s="31"/>
      <c r="AD93" s="31"/>
      <c r="AE93" s="31"/>
      <c r="AF93" s="177"/>
      <c r="AG93" s="177"/>
      <c r="AH93" s="177"/>
      <c r="AI93" s="177"/>
      <c r="AJ93" s="177"/>
      <c r="AK93" s="177"/>
      <c r="AL93" s="177"/>
      <c r="AM93" s="177"/>
      <c r="AN93" s="177"/>
      <c r="AO93" s="177"/>
      <c r="AP93" s="166"/>
      <c r="AQ93" s="166"/>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row>
    <row r="94" spans="1:247" s="10" customFormat="1" ht="59.4" hidden="1" customHeight="1" x14ac:dyDescent="0.3">
      <c r="A94" s="48">
        <v>19</v>
      </c>
      <c r="B94" s="49" t="s">
        <v>214</v>
      </c>
      <c r="C94" s="50" t="s">
        <v>175</v>
      </c>
      <c r="D94" s="50">
        <v>2022</v>
      </c>
      <c r="E94" s="50">
        <v>2024</v>
      </c>
      <c r="F94" s="59" t="s">
        <v>215</v>
      </c>
      <c r="G94" s="40">
        <v>6000</v>
      </c>
      <c r="H94" s="36"/>
      <c r="I94" s="28"/>
      <c r="J94" s="36">
        <v>6000</v>
      </c>
      <c r="K94" s="28"/>
      <c r="L94" s="28"/>
      <c r="M94" s="36"/>
      <c r="N94" s="37"/>
      <c r="O94" s="37"/>
      <c r="P94" s="28"/>
      <c r="Q94" s="37"/>
      <c r="R94" s="37"/>
      <c r="S94" s="37"/>
      <c r="T94" s="38"/>
      <c r="U94" s="31"/>
      <c r="V94" s="31"/>
      <c r="W94" s="31"/>
      <c r="X94" s="31"/>
      <c r="Y94" s="31"/>
      <c r="Z94" s="31"/>
      <c r="AA94" s="31"/>
      <c r="AB94" s="31"/>
      <c r="AC94" s="31"/>
      <c r="AD94" s="31"/>
      <c r="AE94" s="31"/>
      <c r="AF94" s="177"/>
      <c r="AG94" s="177"/>
      <c r="AH94" s="177"/>
      <c r="AI94" s="177"/>
      <c r="AJ94" s="177"/>
      <c r="AK94" s="177"/>
      <c r="AL94" s="177"/>
      <c r="AM94" s="177"/>
      <c r="AN94" s="177"/>
      <c r="AO94" s="177"/>
      <c r="AP94" s="166"/>
      <c r="AQ94" s="166"/>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row>
    <row r="95" spans="1:247" s="10" customFormat="1" ht="66.599999999999994" hidden="1" customHeight="1" x14ac:dyDescent="0.3">
      <c r="A95" s="48">
        <v>20</v>
      </c>
      <c r="B95" s="60" t="s">
        <v>216</v>
      </c>
      <c r="C95" s="50" t="s">
        <v>175</v>
      </c>
      <c r="D95" s="50">
        <v>2022</v>
      </c>
      <c r="E95" s="50">
        <v>2023</v>
      </c>
      <c r="F95" s="61" t="s">
        <v>217</v>
      </c>
      <c r="G95" s="62">
        <v>1120</v>
      </c>
      <c r="H95" s="36"/>
      <c r="I95" s="28"/>
      <c r="J95" s="36">
        <f t="shared" ref="J95:J102" si="35">G95</f>
        <v>1120</v>
      </c>
      <c r="K95" s="28"/>
      <c r="L95" s="28"/>
      <c r="M95" s="36"/>
      <c r="N95" s="37"/>
      <c r="O95" s="37"/>
      <c r="P95" s="28"/>
      <c r="Q95" s="37"/>
      <c r="R95" s="37"/>
      <c r="S95" s="37"/>
      <c r="T95" s="38"/>
      <c r="U95" s="31"/>
      <c r="V95" s="31"/>
      <c r="W95" s="31"/>
      <c r="X95" s="31"/>
      <c r="Y95" s="31"/>
      <c r="Z95" s="31"/>
      <c r="AA95" s="31"/>
      <c r="AB95" s="31"/>
      <c r="AC95" s="31"/>
      <c r="AD95" s="31"/>
      <c r="AE95" s="31"/>
      <c r="AF95" s="177"/>
      <c r="AG95" s="177"/>
      <c r="AH95" s="177"/>
      <c r="AI95" s="177"/>
      <c r="AJ95" s="177"/>
      <c r="AK95" s="177"/>
      <c r="AL95" s="177"/>
      <c r="AM95" s="177"/>
      <c r="AN95" s="177"/>
      <c r="AO95" s="177"/>
      <c r="AP95" s="166"/>
      <c r="AQ95" s="166"/>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row>
    <row r="96" spans="1:247" s="10" customFormat="1" ht="57.6" hidden="1" customHeight="1" x14ac:dyDescent="0.3">
      <c r="A96" s="48">
        <v>21</v>
      </c>
      <c r="B96" s="60" t="s">
        <v>218</v>
      </c>
      <c r="C96" s="50" t="s">
        <v>175</v>
      </c>
      <c r="D96" s="50">
        <v>2022</v>
      </c>
      <c r="E96" s="50">
        <v>2024</v>
      </c>
      <c r="F96" s="63" t="s">
        <v>219</v>
      </c>
      <c r="G96" s="64">
        <v>6422</v>
      </c>
      <c r="H96" s="36"/>
      <c r="I96" s="28"/>
      <c r="J96" s="36">
        <f t="shared" si="35"/>
        <v>6422</v>
      </c>
      <c r="K96" s="28"/>
      <c r="L96" s="28"/>
      <c r="M96" s="36"/>
      <c r="N96" s="37"/>
      <c r="O96" s="37"/>
      <c r="P96" s="28"/>
      <c r="Q96" s="37"/>
      <c r="R96" s="37"/>
      <c r="S96" s="37"/>
      <c r="T96" s="38"/>
      <c r="U96" s="31"/>
      <c r="V96" s="31"/>
      <c r="W96" s="31"/>
      <c r="X96" s="31"/>
      <c r="Y96" s="31"/>
      <c r="Z96" s="31"/>
      <c r="AA96" s="31"/>
      <c r="AB96" s="31"/>
      <c r="AC96" s="31"/>
      <c r="AD96" s="31"/>
      <c r="AE96" s="31"/>
      <c r="AF96" s="177"/>
      <c r="AG96" s="177"/>
      <c r="AH96" s="177"/>
      <c r="AI96" s="177"/>
      <c r="AJ96" s="177"/>
      <c r="AK96" s="177"/>
      <c r="AL96" s="177"/>
      <c r="AM96" s="177"/>
      <c r="AN96" s="177"/>
      <c r="AO96" s="177"/>
      <c r="AP96" s="166"/>
      <c r="AQ96" s="166"/>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row>
    <row r="97" spans="1:247" s="10" customFormat="1" ht="85.95" hidden="1" customHeight="1" x14ac:dyDescent="0.3">
      <c r="A97" s="48">
        <v>22</v>
      </c>
      <c r="B97" s="24" t="s">
        <v>220</v>
      </c>
      <c r="C97" s="50" t="s">
        <v>175</v>
      </c>
      <c r="D97" s="50">
        <v>2022</v>
      </c>
      <c r="E97" s="50">
        <v>2024</v>
      </c>
      <c r="F97" s="50" t="s">
        <v>221</v>
      </c>
      <c r="G97" s="65">
        <v>1129</v>
      </c>
      <c r="H97" s="36"/>
      <c r="I97" s="28"/>
      <c r="J97" s="36">
        <f t="shared" si="35"/>
        <v>1129</v>
      </c>
      <c r="K97" s="28"/>
      <c r="L97" s="28"/>
      <c r="M97" s="36"/>
      <c r="N97" s="37"/>
      <c r="O97" s="37"/>
      <c r="P97" s="28"/>
      <c r="Q97" s="37"/>
      <c r="R97" s="37"/>
      <c r="S97" s="37"/>
      <c r="T97" s="38"/>
      <c r="U97" s="31"/>
      <c r="V97" s="31"/>
      <c r="W97" s="31"/>
      <c r="X97" s="31"/>
      <c r="Y97" s="31"/>
      <c r="Z97" s="31"/>
      <c r="AA97" s="31"/>
      <c r="AB97" s="31"/>
      <c r="AC97" s="31"/>
      <c r="AD97" s="31"/>
      <c r="AE97" s="31"/>
      <c r="AF97" s="177"/>
      <c r="AG97" s="177"/>
      <c r="AH97" s="177"/>
      <c r="AI97" s="177"/>
      <c r="AJ97" s="177"/>
      <c r="AK97" s="177"/>
      <c r="AL97" s="177"/>
      <c r="AM97" s="177"/>
      <c r="AN97" s="177"/>
      <c r="AO97" s="177"/>
      <c r="AP97" s="166"/>
      <c r="AQ97" s="166"/>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row>
    <row r="98" spans="1:247" s="10" customFormat="1" ht="62.4" hidden="1" customHeight="1" x14ac:dyDescent="0.3">
      <c r="A98" s="48">
        <v>23</v>
      </c>
      <c r="B98" s="49" t="s">
        <v>222</v>
      </c>
      <c r="C98" s="50" t="s">
        <v>175</v>
      </c>
      <c r="D98" s="50">
        <v>2022</v>
      </c>
      <c r="E98" s="50">
        <v>2024</v>
      </c>
      <c r="F98" s="50" t="s">
        <v>223</v>
      </c>
      <c r="G98" s="66">
        <v>938</v>
      </c>
      <c r="H98" s="36"/>
      <c r="I98" s="28"/>
      <c r="J98" s="36">
        <f t="shared" si="35"/>
        <v>938</v>
      </c>
      <c r="K98" s="28"/>
      <c r="L98" s="28"/>
      <c r="M98" s="36"/>
      <c r="N98" s="37"/>
      <c r="O98" s="37"/>
      <c r="P98" s="28"/>
      <c r="Q98" s="37"/>
      <c r="R98" s="37"/>
      <c r="S98" s="37"/>
      <c r="T98" s="38"/>
      <c r="U98" s="31"/>
      <c r="V98" s="31"/>
      <c r="W98" s="31"/>
      <c r="X98" s="31"/>
      <c r="Y98" s="31"/>
      <c r="Z98" s="31"/>
      <c r="AA98" s="31"/>
      <c r="AB98" s="31"/>
      <c r="AC98" s="31"/>
      <c r="AD98" s="31"/>
      <c r="AE98" s="31"/>
      <c r="AF98" s="177"/>
      <c r="AG98" s="177"/>
      <c r="AH98" s="177"/>
      <c r="AI98" s="177"/>
      <c r="AJ98" s="177"/>
      <c r="AK98" s="177"/>
      <c r="AL98" s="177"/>
      <c r="AM98" s="177"/>
      <c r="AN98" s="177"/>
      <c r="AO98" s="177"/>
      <c r="AP98" s="166"/>
      <c r="AQ98" s="166"/>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row>
    <row r="99" spans="1:247" s="10" customFormat="1" ht="66.599999999999994" hidden="1" customHeight="1" x14ac:dyDescent="0.3">
      <c r="A99" s="48">
        <v>24</v>
      </c>
      <c r="B99" s="49" t="s">
        <v>224</v>
      </c>
      <c r="C99" s="50" t="s">
        <v>175</v>
      </c>
      <c r="D99" s="50">
        <v>2023</v>
      </c>
      <c r="E99" s="50">
        <v>2024</v>
      </c>
      <c r="F99" s="50" t="s">
        <v>225</v>
      </c>
      <c r="G99" s="64">
        <v>7000</v>
      </c>
      <c r="H99" s="36"/>
      <c r="I99" s="28"/>
      <c r="J99" s="36">
        <f t="shared" si="35"/>
        <v>7000</v>
      </c>
      <c r="K99" s="28"/>
      <c r="L99" s="28"/>
      <c r="M99" s="36"/>
      <c r="N99" s="37"/>
      <c r="O99" s="37"/>
      <c r="P99" s="28"/>
      <c r="Q99" s="37"/>
      <c r="R99" s="37"/>
      <c r="S99" s="37"/>
      <c r="T99" s="38"/>
      <c r="U99" s="31"/>
      <c r="V99" s="31"/>
      <c r="W99" s="31"/>
      <c r="X99" s="31"/>
      <c r="Y99" s="31"/>
      <c r="Z99" s="31"/>
      <c r="AA99" s="31"/>
      <c r="AB99" s="31"/>
      <c r="AC99" s="31"/>
      <c r="AD99" s="31"/>
      <c r="AE99" s="31"/>
      <c r="AF99" s="177"/>
      <c r="AG99" s="177"/>
      <c r="AH99" s="177"/>
      <c r="AI99" s="177"/>
      <c r="AJ99" s="177"/>
      <c r="AK99" s="177"/>
      <c r="AL99" s="177"/>
      <c r="AM99" s="177"/>
      <c r="AN99" s="177"/>
      <c r="AO99" s="177"/>
      <c r="AP99" s="166"/>
      <c r="AQ99" s="166"/>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row>
    <row r="100" spans="1:247" s="10" customFormat="1" ht="62.25" hidden="1" customHeight="1" x14ac:dyDescent="0.3">
      <c r="A100" s="48">
        <v>25</v>
      </c>
      <c r="B100" s="49" t="s">
        <v>226</v>
      </c>
      <c r="C100" s="50" t="s">
        <v>175</v>
      </c>
      <c r="D100" s="50">
        <v>2023</v>
      </c>
      <c r="E100" s="50">
        <v>2023</v>
      </c>
      <c r="F100" s="63" t="s">
        <v>227</v>
      </c>
      <c r="G100" s="40">
        <v>550</v>
      </c>
      <c r="H100" s="36"/>
      <c r="I100" s="28"/>
      <c r="J100" s="36">
        <f t="shared" si="35"/>
        <v>550</v>
      </c>
      <c r="K100" s="28"/>
      <c r="L100" s="28"/>
      <c r="M100" s="36"/>
      <c r="N100" s="37"/>
      <c r="O100" s="37"/>
      <c r="P100" s="28"/>
      <c r="Q100" s="37"/>
      <c r="R100" s="37"/>
      <c r="S100" s="37"/>
      <c r="T100" s="38"/>
      <c r="U100" s="31"/>
      <c r="V100" s="31"/>
      <c r="W100" s="31"/>
      <c r="X100" s="31"/>
      <c r="Y100" s="31"/>
      <c r="Z100" s="31"/>
      <c r="AA100" s="31"/>
      <c r="AB100" s="31"/>
      <c r="AC100" s="31"/>
      <c r="AD100" s="31"/>
      <c r="AE100" s="31"/>
      <c r="AF100" s="177"/>
      <c r="AG100" s="177"/>
      <c r="AH100" s="177"/>
      <c r="AI100" s="177"/>
      <c r="AJ100" s="177"/>
      <c r="AK100" s="177"/>
      <c r="AL100" s="177"/>
      <c r="AM100" s="177"/>
      <c r="AN100" s="177"/>
      <c r="AO100" s="177"/>
      <c r="AP100" s="166"/>
      <c r="AQ100" s="166"/>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row>
    <row r="101" spans="1:247" s="10" customFormat="1" ht="67.2" hidden="1" customHeight="1" x14ac:dyDescent="0.3">
      <c r="A101" s="48">
        <v>26</v>
      </c>
      <c r="B101" s="49" t="s">
        <v>228</v>
      </c>
      <c r="C101" s="50" t="s">
        <v>175</v>
      </c>
      <c r="D101" s="50">
        <v>2023</v>
      </c>
      <c r="E101" s="50">
        <v>2024</v>
      </c>
      <c r="F101" s="50" t="s">
        <v>229</v>
      </c>
      <c r="G101" s="65">
        <v>4862</v>
      </c>
      <c r="H101" s="36"/>
      <c r="I101" s="28"/>
      <c r="J101" s="36">
        <f t="shared" si="35"/>
        <v>4862</v>
      </c>
      <c r="K101" s="28"/>
      <c r="L101" s="28"/>
      <c r="M101" s="36"/>
      <c r="N101" s="37"/>
      <c r="O101" s="37"/>
      <c r="P101" s="28"/>
      <c r="Q101" s="37"/>
      <c r="R101" s="37"/>
      <c r="S101" s="37"/>
      <c r="T101" s="38"/>
      <c r="U101" s="31"/>
      <c r="V101" s="31"/>
      <c r="W101" s="31"/>
      <c r="X101" s="31"/>
      <c r="Y101" s="31"/>
      <c r="Z101" s="31"/>
      <c r="AA101" s="31"/>
      <c r="AB101" s="31"/>
      <c r="AC101" s="31"/>
      <c r="AD101" s="31"/>
      <c r="AE101" s="31"/>
      <c r="AF101" s="177"/>
      <c r="AG101" s="177"/>
      <c r="AH101" s="177"/>
      <c r="AI101" s="177"/>
      <c r="AJ101" s="177"/>
      <c r="AK101" s="177"/>
      <c r="AL101" s="177"/>
      <c r="AM101" s="177"/>
      <c r="AN101" s="177"/>
      <c r="AO101" s="177"/>
      <c r="AP101" s="166"/>
      <c r="AQ101" s="166"/>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row>
    <row r="102" spans="1:247" s="10" customFormat="1" ht="66" hidden="1" customHeight="1" x14ac:dyDescent="0.3">
      <c r="A102" s="48">
        <v>27</v>
      </c>
      <c r="B102" s="49" t="s">
        <v>230</v>
      </c>
      <c r="C102" s="50" t="s">
        <v>175</v>
      </c>
      <c r="D102" s="50">
        <v>2023</v>
      </c>
      <c r="E102" s="50">
        <v>2024</v>
      </c>
      <c r="F102" s="50" t="s">
        <v>231</v>
      </c>
      <c r="G102" s="28">
        <v>3700</v>
      </c>
      <c r="H102" s="36"/>
      <c r="I102" s="28"/>
      <c r="J102" s="36">
        <f t="shared" si="35"/>
        <v>3700</v>
      </c>
      <c r="K102" s="28"/>
      <c r="L102" s="28"/>
      <c r="M102" s="36"/>
      <c r="N102" s="37"/>
      <c r="O102" s="37"/>
      <c r="P102" s="28"/>
      <c r="Q102" s="37"/>
      <c r="R102" s="37"/>
      <c r="S102" s="37"/>
      <c r="T102" s="38"/>
      <c r="U102" s="31"/>
      <c r="V102" s="31"/>
      <c r="W102" s="31"/>
      <c r="X102" s="31"/>
      <c r="Y102" s="31"/>
      <c r="Z102" s="31"/>
      <c r="AA102" s="31"/>
      <c r="AB102" s="31"/>
      <c r="AC102" s="31"/>
      <c r="AD102" s="31"/>
      <c r="AE102" s="31"/>
      <c r="AF102" s="177"/>
      <c r="AG102" s="177"/>
      <c r="AH102" s="177"/>
      <c r="AI102" s="177"/>
      <c r="AJ102" s="177"/>
      <c r="AK102" s="177"/>
      <c r="AL102" s="177"/>
      <c r="AM102" s="177"/>
      <c r="AN102" s="177"/>
      <c r="AO102" s="177"/>
      <c r="AP102" s="166"/>
      <c r="AQ102" s="166"/>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row>
    <row r="103" spans="1:247" s="10" customFormat="1" ht="61.95" hidden="1" customHeight="1" x14ac:dyDescent="0.3">
      <c r="A103" s="48">
        <v>28</v>
      </c>
      <c r="B103" s="67" t="s">
        <v>232</v>
      </c>
      <c r="C103" s="50" t="s">
        <v>175</v>
      </c>
      <c r="D103" s="50">
        <v>2023</v>
      </c>
      <c r="E103" s="50">
        <v>2025</v>
      </c>
      <c r="F103" s="50" t="s">
        <v>233</v>
      </c>
      <c r="G103" s="40">
        <v>700</v>
      </c>
      <c r="H103" s="36"/>
      <c r="I103" s="28"/>
      <c r="J103" s="36">
        <v>700</v>
      </c>
      <c r="K103" s="28"/>
      <c r="L103" s="28"/>
      <c r="M103" s="36"/>
      <c r="N103" s="37"/>
      <c r="O103" s="37"/>
      <c r="P103" s="28"/>
      <c r="Q103" s="37"/>
      <c r="R103" s="37"/>
      <c r="S103" s="37"/>
      <c r="T103" s="38"/>
      <c r="U103" s="31"/>
      <c r="V103" s="31"/>
      <c r="W103" s="31"/>
      <c r="X103" s="31"/>
      <c r="Y103" s="31"/>
      <c r="Z103" s="31"/>
      <c r="AA103" s="31"/>
      <c r="AB103" s="31"/>
      <c r="AC103" s="31"/>
      <c r="AD103" s="31"/>
      <c r="AE103" s="31"/>
      <c r="AF103" s="177"/>
      <c r="AG103" s="177"/>
      <c r="AH103" s="177"/>
      <c r="AI103" s="177"/>
      <c r="AJ103" s="177"/>
      <c r="AK103" s="177"/>
      <c r="AL103" s="177"/>
      <c r="AM103" s="177"/>
      <c r="AN103" s="177"/>
      <c r="AO103" s="177"/>
      <c r="AP103" s="166"/>
      <c r="AQ103" s="166"/>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row>
    <row r="104" spans="1:247" s="10" customFormat="1" ht="58.2" hidden="1" customHeight="1" x14ac:dyDescent="0.3">
      <c r="A104" s="48">
        <v>29</v>
      </c>
      <c r="B104" s="67" t="s">
        <v>234</v>
      </c>
      <c r="C104" s="50" t="s">
        <v>175</v>
      </c>
      <c r="D104" s="50">
        <v>2023</v>
      </c>
      <c r="E104" s="50">
        <v>2025</v>
      </c>
      <c r="F104" s="50" t="s">
        <v>235</v>
      </c>
      <c r="G104" s="40">
        <v>500</v>
      </c>
      <c r="H104" s="36"/>
      <c r="I104" s="28"/>
      <c r="J104" s="36">
        <v>500</v>
      </c>
      <c r="K104" s="28"/>
      <c r="L104" s="28"/>
      <c r="M104" s="36"/>
      <c r="N104" s="37"/>
      <c r="O104" s="37"/>
      <c r="P104" s="28"/>
      <c r="Q104" s="37"/>
      <c r="R104" s="37"/>
      <c r="S104" s="37"/>
      <c r="T104" s="38"/>
      <c r="U104" s="31"/>
      <c r="V104" s="31"/>
      <c r="W104" s="31"/>
      <c r="X104" s="31"/>
      <c r="Y104" s="31"/>
      <c r="Z104" s="31"/>
      <c r="AA104" s="31"/>
      <c r="AB104" s="31"/>
      <c r="AC104" s="31"/>
      <c r="AD104" s="31"/>
      <c r="AE104" s="31"/>
      <c r="AF104" s="177"/>
      <c r="AG104" s="177"/>
      <c r="AH104" s="177"/>
      <c r="AI104" s="177"/>
      <c r="AJ104" s="177"/>
      <c r="AK104" s="177"/>
      <c r="AL104" s="177"/>
      <c r="AM104" s="177"/>
      <c r="AN104" s="177"/>
      <c r="AO104" s="177"/>
      <c r="AP104" s="166"/>
      <c r="AQ104" s="166"/>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row>
    <row r="105" spans="1:247" s="10" customFormat="1" ht="70.2" hidden="1" customHeight="1" x14ac:dyDescent="0.3">
      <c r="A105" s="48">
        <v>30</v>
      </c>
      <c r="B105" s="67" t="s">
        <v>236</v>
      </c>
      <c r="C105" s="50" t="s">
        <v>175</v>
      </c>
      <c r="D105" s="50">
        <v>2023</v>
      </c>
      <c r="E105" s="50">
        <v>2025</v>
      </c>
      <c r="F105" s="63" t="s">
        <v>237</v>
      </c>
      <c r="G105" s="40">
        <v>35000</v>
      </c>
      <c r="H105" s="36"/>
      <c r="I105" s="28"/>
      <c r="J105" s="36">
        <v>35000</v>
      </c>
      <c r="K105" s="28"/>
      <c r="L105" s="28"/>
      <c r="M105" s="36"/>
      <c r="N105" s="37"/>
      <c r="O105" s="37"/>
      <c r="P105" s="28"/>
      <c r="Q105" s="37"/>
      <c r="R105" s="37"/>
      <c r="S105" s="37"/>
      <c r="T105" s="38"/>
      <c r="U105" s="31"/>
      <c r="V105" s="31"/>
      <c r="W105" s="31"/>
      <c r="X105" s="31"/>
      <c r="Y105" s="31"/>
      <c r="Z105" s="31"/>
      <c r="AA105" s="31"/>
      <c r="AB105" s="31"/>
      <c r="AC105" s="31"/>
      <c r="AD105" s="31"/>
      <c r="AE105" s="31"/>
      <c r="AF105" s="177"/>
      <c r="AG105" s="177"/>
      <c r="AH105" s="177"/>
      <c r="AI105" s="177"/>
      <c r="AJ105" s="177"/>
      <c r="AK105" s="177"/>
      <c r="AL105" s="177"/>
      <c r="AM105" s="177"/>
      <c r="AN105" s="177"/>
      <c r="AO105" s="177"/>
      <c r="AP105" s="166"/>
      <c r="AQ105" s="166"/>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row>
    <row r="106" spans="1:247" s="10" customFormat="1" ht="91.5" hidden="1" customHeight="1" x14ac:dyDescent="0.3">
      <c r="A106" s="48">
        <v>31</v>
      </c>
      <c r="B106" s="49" t="s">
        <v>238</v>
      </c>
      <c r="C106" s="50" t="s">
        <v>175</v>
      </c>
      <c r="D106" s="50">
        <v>2023</v>
      </c>
      <c r="E106" s="50">
        <v>2025</v>
      </c>
      <c r="F106" s="50" t="s">
        <v>239</v>
      </c>
      <c r="G106" s="40">
        <v>600</v>
      </c>
      <c r="H106" s="36"/>
      <c r="I106" s="28"/>
      <c r="J106" s="36">
        <v>600</v>
      </c>
      <c r="K106" s="28"/>
      <c r="L106" s="28"/>
      <c r="M106" s="36"/>
      <c r="N106" s="37"/>
      <c r="O106" s="37"/>
      <c r="P106" s="28"/>
      <c r="Q106" s="37"/>
      <c r="R106" s="37"/>
      <c r="S106" s="37"/>
      <c r="T106" s="38"/>
      <c r="U106" s="38"/>
      <c r="V106" s="38"/>
      <c r="W106" s="38"/>
      <c r="X106" s="38"/>
      <c r="Y106" s="38"/>
      <c r="Z106" s="38"/>
      <c r="AA106" s="38"/>
      <c r="AB106" s="38"/>
      <c r="AC106" s="38"/>
      <c r="AD106" s="38"/>
      <c r="AE106" s="38"/>
      <c r="AF106" s="177"/>
      <c r="AG106" s="177"/>
      <c r="AH106" s="177"/>
      <c r="AI106" s="177"/>
      <c r="AJ106" s="177"/>
      <c r="AK106" s="177"/>
      <c r="AL106" s="177"/>
      <c r="AM106" s="177"/>
      <c r="AN106" s="177"/>
      <c r="AO106" s="177"/>
      <c r="AP106" s="166"/>
      <c r="AQ106" s="166"/>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row>
    <row r="107" spans="1:247" s="10" customFormat="1" ht="91.5" hidden="1" customHeight="1" x14ac:dyDescent="0.3">
      <c r="A107" s="48">
        <v>32</v>
      </c>
      <c r="B107" s="68" t="s">
        <v>240</v>
      </c>
      <c r="C107" s="50" t="s">
        <v>175</v>
      </c>
      <c r="D107" s="50">
        <v>2024</v>
      </c>
      <c r="E107" s="50">
        <v>2026</v>
      </c>
      <c r="F107" s="69" t="s">
        <v>241</v>
      </c>
      <c r="G107" s="40">
        <f>J107</f>
        <v>900</v>
      </c>
      <c r="H107" s="36"/>
      <c r="I107" s="28"/>
      <c r="J107" s="36">
        <v>900</v>
      </c>
      <c r="K107" s="28"/>
      <c r="L107" s="28"/>
      <c r="M107" s="36"/>
      <c r="N107" s="37"/>
      <c r="O107" s="37"/>
      <c r="P107" s="28"/>
      <c r="Q107" s="37"/>
      <c r="R107" s="37"/>
      <c r="S107" s="37"/>
      <c r="T107" s="38"/>
      <c r="U107" s="38"/>
      <c r="V107" s="38"/>
      <c r="W107" s="38"/>
      <c r="X107" s="38"/>
      <c r="Y107" s="38"/>
      <c r="Z107" s="38"/>
      <c r="AA107" s="38"/>
      <c r="AB107" s="38"/>
      <c r="AC107" s="38"/>
      <c r="AD107" s="38"/>
      <c r="AE107" s="38"/>
      <c r="AF107" s="177"/>
      <c r="AG107" s="177"/>
      <c r="AH107" s="177"/>
      <c r="AI107" s="177"/>
      <c r="AJ107" s="177"/>
      <c r="AK107" s="177"/>
      <c r="AL107" s="177"/>
      <c r="AM107" s="177"/>
      <c r="AN107" s="177"/>
      <c r="AO107" s="177"/>
      <c r="AP107" s="166"/>
      <c r="AQ107" s="166"/>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row>
    <row r="108" spans="1:247" ht="18" hidden="1" customHeight="1" x14ac:dyDescent="0.3">
      <c r="A108" s="16" t="s">
        <v>242</v>
      </c>
      <c r="B108" s="70" t="s">
        <v>95</v>
      </c>
      <c r="C108" s="20"/>
      <c r="D108" s="20"/>
      <c r="E108" s="20"/>
      <c r="F108" s="20"/>
      <c r="G108" s="21">
        <f>G109+G112</f>
        <v>210594</v>
      </c>
      <c r="H108" s="21">
        <f t="shared" ref="H108:J108" si="36">H109+H112</f>
        <v>15955</v>
      </c>
      <c r="I108" s="21">
        <f t="shared" si="36"/>
        <v>0</v>
      </c>
      <c r="J108" s="21">
        <f t="shared" si="36"/>
        <v>194639</v>
      </c>
      <c r="K108" s="21"/>
      <c r="L108" s="21"/>
      <c r="M108" s="21"/>
      <c r="N108" s="21"/>
      <c r="O108" s="21"/>
      <c r="P108" s="21"/>
      <c r="Q108" s="21"/>
      <c r="R108" s="21"/>
      <c r="S108" s="21"/>
      <c r="T108" s="21"/>
      <c r="U108" s="71"/>
      <c r="V108" s="72"/>
      <c r="W108" s="72"/>
      <c r="X108" s="72"/>
      <c r="Y108" s="72"/>
      <c r="Z108" s="72"/>
      <c r="AA108" s="72"/>
      <c r="AB108" s="72"/>
      <c r="AC108" s="72"/>
      <c r="AD108" s="72"/>
      <c r="AE108" s="72"/>
      <c r="AF108" s="177"/>
      <c r="AG108" s="177"/>
      <c r="AH108" s="177"/>
      <c r="AI108" s="177"/>
      <c r="AJ108" s="177"/>
      <c r="AK108" s="177"/>
      <c r="AL108" s="177"/>
      <c r="AM108" s="177"/>
      <c r="AN108" s="177"/>
      <c r="AO108" s="177"/>
      <c r="AP108" s="166"/>
      <c r="AQ108" s="166"/>
      <c r="AR108" s="3"/>
      <c r="AS108" s="3"/>
      <c r="AT108" s="3"/>
      <c r="AU108" s="3"/>
      <c r="AV108" s="3"/>
      <c r="AW108" s="3"/>
      <c r="AX108" s="3"/>
      <c r="AY108" s="3"/>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row>
    <row r="109" spans="1:247" ht="16.5" hidden="1" customHeight="1" x14ac:dyDescent="0.3">
      <c r="A109" s="73" t="s">
        <v>42</v>
      </c>
      <c r="B109" s="74" t="s">
        <v>243</v>
      </c>
      <c r="C109" s="75"/>
      <c r="D109" s="75"/>
      <c r="E109" s="75"/>
      <c r="F109" s="75"/>
      <c r="G109" s="76">
        <f>SUM(G110:G111)</f>
        <v>19954</v>
      </c>
      <c r="H109" s="76">
        <f t="shared" ref="H109:J109" si="37">SUM(H110:H111)</f>
        <v>15955</v>
      </c>
      <c r="I109" s="76">
        <f t="shared" si="37"/>
        <v>0</v>
      </c>
      <c r="J109" s="76">
        <f t="shared" si="37"/>
        <v>3999</v>
      </c>
      <c r="K109" s="77"/>
      <c r="L109" s="77"/>
      <c r="M109" s="77"/>
      <c r="N109" s="77"/>
      <c r="O109" s="77"/>
      <c r="P109" s="77"/>
      <c r="Q109" s="77"/>
      <c r="R109" s="77"/>
      <c r="S109" s="77"/>
      <c r="T109" s="77"/>
      <c r="U109" s="78"/>
      <c r="V109" s="79"/>
      <c r="W109" s="79"/>
      <c r="X109" s="79"/>
      <c r="Y109" s="79"/>
      <c r="Z109" s="79"/>
      <c r="AA109" s="79"/>
      <c r="AB109" s="79"/>
      <c r="AC109" s="79"/>
      <c r="AD109" s="79"/>
      <c r="AE109" s="79"/>
      <c r="AF109" s="177"/>
      <c r="AG109" s="177"/>
      <c r="AH109" s="177"/>
      <c r="AI109" s="177"/>
      <c r="AJ109" s="177"/>
      <c r="AK109" s="177"/>
      <c r="AL109" s="177"/>
      <c r="AM109" s="177"/>
      <c r="AN109" s="177"/>
      <c r="AO109" s="177"/>
      <c r="AP109" s="166"/>
      <c r="AQ109" s="166"/>
      <c r="AR109" s="3"/>
      <c r="AS109" s="3"/>
      <c r="AT109" s="3"/>
      <c r="AU109" s="3"/>
      <c r="AV109" s="3"/>
      <c r="AW109" s="3"/>
      <c r="AX109" s="3"/>
      <c r="AY109" s="3"/>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row>
    <row r="110" spans="1:247" ht="78" hidden="1" customHeight="1" x14ac:dyDescent="0.3">
      <c r="A110" s="23">
        <v>1</v>
      </c>
      <c r="B110" s="24" t="s">
        <v>244</v>
      </c>
      <c r="C110" s="25" t="s">
        <v>245</v>
      </c>
      <c r="D110" s="25" t="s">
        <v>246</v>
      </c>
      <c r="E110" s="25" t="s">
        <v>150</v>
      </c>
      <c r="F110" s="25" t="s">
        <v>247</v>
      </c>
      <c r="G110" s="40">
        <v>9955</v>
      </c>
      <c r="H110" s="36">
        <v>9955</v>
      </c>
      <c r="I110" s="28"/>
      <c r="J110" s="36"/>
      <c r="K110" s="28"/>
      <c r="L110" s="28"/>
      <c r="M110" s="36"/>
      <c r="N110" s="37"/>
      <c r="O110" s="37"/>
      <c r="P110" s="28"/>
      <c r="Q110" s="37"/>
      <c r="R110" s="37"/>
      <c r="S110" s="37"/>
      <c r="T110" s="37"/>
      <c r="U110" s="80"/>
      <c r="V110" s="38"/>
      <c r="W110" s="38"/>
      <c r="X110" s="38"/>
      <c r="Y110" s="38"/>
      <c r="Z110" s="38"/>
      <c r="AA110" s="38"/>
      <c r="AB110" s="38"/>
      <c r="AC110" s="38"/>
      <c r="AD110" s="38"/>
      <c r="AE110" s="38"/>
      <c r="AF110" s="177"/>
      <c r="AG110" s="177"/>
      <c r="AH110" s="177"/>
      <c r="AI110" s="177"/>
      <c r="AJ110" s="177"/>
      <c r="AK110" s="177"/>
      <c r="AL110" s="177"/>
      <c r="AM110" s="177"/>
      <c r="AN110" s="177"/>
      <c r="AO110" s="177"/>
      <c r="AP110" s="166"/>
      <c r="AQ110" s="166"/>
      <c r="AR110" s="3"/>
      <c r="AS110" s="3"/>
      <c r="AT110" s="3"/>
      <c r="AU110" s="3"/>
      <c r="AV110" s="3"/>
      <c r="AW110" s="3"/>
      <c r="AX110" s="3"/>
      <c r="AY110" s="3"/>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row>
    <row r="111" spans="1:247" ht="78" hidden="1" customHeight="1" x14ac:dyDescent="0.3">
      <c r="A111" s="23">
        <v>2</v>
      </c>
      <c r="B111" s="24" t="s">
        <v>248</v>
      </c>
      <c r="C111" s="25" t="s">
        <v>245</v>
      </c>
      <c r="D111" s="25" t="s">
        <v>246</v>
      </c>
      <c r="E111" s="25">
        <v>2020</v>
      </c>
      <c r="F111" s="25"/>
      <c r="G111" s="40">
        <f>SUM(H111:J111)</f>
        <v>9999</v>
      </c>
      <c r="H111" s="36">
        <v>6000</v>
      </c>
      <c r="I111" s="28"/>
      <c r="J111" s="36">
        <v>3999</v>
      </c>
      <c r="K111" s="28"/>
      <c r="L111" s="28"/>
      <c r="M111" s="36"/>
      <c r="N111" s="37"/>
      <c r="O111" s="37"/>
      <c r="P111" s="28"/>
      <c r="Q111" s="37"/>
      <c r="R111" s="37"/>
      <c r="S111" s="37"/>
      <c r="T111" s="37"/>
      <c r="U111" s="80"/>
      <c r="V111" s="38"/>
      <c r="W111" s="38"/>
      <c r="X111" s="38"/>
      <c r="Y111" s="38"/>
      <c r="Z111" s="38"/>
      <c r="AA111" s="38"/>
      <c r="AB111" s="38"/>
      <c r="AC111" s="38"/>
      <c r="AD111" s="38"/>
      <c r="AE111" s="38"/>
      <c r="AF111" s="177"/>
      <c r="AG111" s="177"/>
      <c r="AH111" s="177"/>
      <c r="AI111" s="177"/>
      <c r="AJ111" s="177"/>
      <c r="AK111" s="177"/>
      <c r="AL111" s="177"/>
      <c r="AM111" s="177"/>
      <c r="AN111" s="177"/>
      <c r="AO111" s="177"/>
      <c r="AP111" s="166"/>
      <c r="AQ111" s="166"/>
      <c r="AR111" s="3"/>
      <c r="AS111" s="3"/>
      <c r="AT111" s="3"/>
      <c r="AU111" s="3"/>
      <c r="AV111" s="3"/>
      <c r="AW111" s="3"/>
      <c r="AX111" s="3"/>
      <c r="AY111" s="3"/>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row>
    <row r="112" spans="1:247" ht="16.5" hidden="1" customHeight="1" x14ac:dyDescent="0.3">
      <c r="A112" s="81" t="s">
        <v>71</v>
      </c>
      <c r="B112" s="74" t="s">
        <v>249</v>
      </c>
      <c r="C112" s="82"/>
      <c r="D112" s="82"/>
      <c r="E112" s="82"/>
      <c r="F112" s="82"/>
      <c r="G112" s="83">
        <f>SUM(G113:G174)</f>
        <v>190640</v>
      </c>
      <c r="H112" s="83">
        <f t="shared" ref="H112:J112" si="38">SUM(H113:H174)</f>
        <v>0</v>
      </c>
      <c r="I112" s="83">
        <f t="shared" si="38"/>
        <v>0</v>
      </c>
      <c r="J112" s="83">
        <f t="shared" si="38"/>
        <v>190640</v>
      </c>
      <c r="K112" s="83"/>
      <c r="L112" s="83"/>
      <c r="M112" s="83"/>
      <c r="N112" s="83"/>
      <c r="O112" s="83"/>
      <c r="P112" s="83"/>
      <c r="Q112" s="83"/>
      <c r="R112" s="83"/>
      <c r="S112" s="83"/>
      <c r="T112" s="84"/>
      <c r="U112" s="78"/>
      <c r="V112" s="79"/>
      <c r="W112" s="79"/>
      <c r="X112" s="79"/>
      <c r="Y112" s="79"/>
      <c r="Z112" s="79"/>
      <c r="AA112" s="79"/>
      <c r="AB112" s="79"/>
      <c r="AC112" s="79"/>
      <c r="AD112" s="79"/>
      <c r="AE112" s="79"/>
      <c r="AF112" s="177"/>
      <c r="AG112" s="177"/>
      <c r="AH112" s="177"/>
      <c r="AI112" s="177"/>
      <c r="AJ112" s="177"/>
      <c r="AK112" s="177"/>
      <c r="AL112" s="177"/>
      <c r="AM112" s="177"/>
      <c r="AN112" s="177"/>
      <c r="AO112" s="177"/>
      <c r="AP112" s="166"/>
      <c r="AQ112" s="166"/>
      <c r="AR112" s="3"/>
      <c r="AS112" s="3"/>
      <c r="AT112" s="3"/>
      <c r="AU112" s="3"/>
      <c r="AV112" s="3"/>
      <c r="AW112" s="3"/>
      <c r="AX112" s="3"/>
      <c r="AY112" s="3"/>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row>
    <row r="113" spans="1:247" ht="78" hidden="1" customHeight="1" x14ac:dyDescent="0.3">
      <c r="A113" s="23">
        <v>1</v>
      </c>
      <c r="B113" s="24" t="s">
        <v>250</v>
      </c>
      <c r="C113" s="25" t="s">
        <v>245</v>
      </c>
      <c r="D113" s="25" t="s">
        <v>246</v>
      </c>
      <c r="E113" s="25">
        <v>2020</v>
      </c>
      <c r="F113" s="25"/>
      <c r="G113" s="40">
        <f t="shared" ref="G113:G174" si="39">SUM(H113:J113)</f>
        <v>930</v>
      </c>
      <c r="H113" s="36"/>
      <c r="I113" s="28"/>
      <c r="J113" s="36">
        <v>930</v>
      </c>
      <c r="K113" s="28"/>
      <c r="L113" s="28"/>
      <c r="M113" s="36"/>
      <c r="N113" s="37"/>
      <c r="O113" s="37"/>
      <c r="P113" s="28"/>
      <c r="Q113" s="37"/>
      <c r="R113" s="37"/>
      <c r="S113" s="37"/>
      <c r="T113" s="37"/>
      <c r="U113" s="38"/>
      <c r="V113" s="38"/>
      <c r="W113" s="38"/>
      <c r="X113" s="38"/>
      <c r="Y113" s="38"/>
      <c r="Z113" s="38"/>
      <c r="AA113" s="38"/>
      <c r="AB113" s="38"/>
      <c r="AC113" s="38"/>
      <c r="AD113" s="38"/>
      <c r="AE113" s="38"/>
      <c r="AF113" s="177"/>
      <c r="AG113" s="177"/>
      <c r="AH113" s="177"/>
      <c r="AI113" s="177"/>
      <c r="AJ113" s="177"/>
      <c r="AK113" s="177"/>
      <c r="AL113" s="177"/>
      <c r="AM113" s="177"/>
      <c r="AN113" s="177"/>
      <c r="AO113" s="177"/>
      <c r="AP113" s="166"/>
      <c r="AQ113" s="166"/>
      <c r="AR113" s="3"/>
      <c r="AS113" s="3"/>
      <c r="AT113" s="3"/>
      <c r="AU113" s="3"/>
      <c r="AV113" s="3"/>
      <c r="AW113" s="3"/>
      <c r="AX113" s="3"/>
      <c r="AY113" s="3"/>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row>
    <row r="114" spans="1:247" ht="78" hidden="1" customHeight="1" x14ac:dyDescent="0.3">
      <c r="A114" s="23">
        <v>2</v>
      </c>
      <c r="B114" s="24" t="s">
        <v>251</v>
      </c>
      <c r="C114" s="25" t="s">
        <v>245</v>
      </c>
      <c r="D114" s="25" t="s">
        <v>246</v>
      </c>
      <c r="E114" s="25">
        <v>2020</v>
      </c>
      <c r="F114" s="25"/>
      <c r="G114" s="40">
        <f t="shared" si="39"/>
        <v>6707</v>
      </c>
      <c r="H114" s="36"/>
      <c r="I114" s="28"/>
      <c r="J114" s="36">
        <v>6707</v>
      </c>
      <c r="K114" s="28"/>
      <c r="L114" s="28"/>
      <c r="M114" s="36"/>
      <c r="N114" s="37"/>
      <c r="O114" s="37"/>
      <c r="P114" s="28"/>
      <c r="Q114" s="37"/>
      <c r="R114" s="37"/>
      <c r="S114" s="37"/>
      <c r="T114" s="37"/>
      <c r="U114" s="38"/>
      <c r="V114" s="38"/>
      <c r="W114" s="38"/>
      <c r="X114" s="38"/>
      <c r="Y114" s="38"/>
      <c r="Z114" s="38"/>
      <c r="AA114" s="38"/>
      <c r="AB114" s="38"/>
      <c r="AC114" s="38"/>
      <c r="AD114" s="38"/>
      <c r="AE114" s="38"/>
      <c r="AF114" s="177"/>
      <c r="AG114" s="177"/>
      <c r="AH114" s="177"/>
      <c r="AI114" s="177"/>
      <c r="AJ114" s="177"/>
      <c r="AK114" s="177"/>
      <c r="AL114" s="177"/>
      <c r="AM114" s="177"/>
      <c r="AN114" s="177"/>
      <c r="AO114" s="177"/>
      <c r="AP114" s="166"/>
      <c r="AQ114" s="166"/>
      <c r="AR114" s="3"/>
      <c r="AS114" s="3"/>
      <c r="AT114" s="3"/>
      <c r="AU114" s="3"/>
      <c r="AV114" s="3"/>
      <c r="AW114" s="3"/>
      <c r="AX114" s="3"/>
      <c r="AY114" s="3"/>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row>
    <row r="115" spans="1:247" ht="78" hidden="1" customHeight="1" x14ac:dyDescent="0.3">
      <c r="A115" s="23">
        <v>3</v>
      </c>
      <c r="B115" s="24" t="s">
        <v>252</v>
      </c>
      <c r="C115" s="25" t="s">
        <v>245</v>
      </c>
      <c r="D115" s="25" t="s">
        <v>246</v>
      </c>
      <c r="E115" s="25">
        <v>2021</v>
      </c>
      <c r="F115" s="25"/>
      <c r="G115" s="40">
        <f t="shared" si="39"/>
        <v>20499</v>
      </c>
      <c r="H115" s="36"/>
      <c r="I115" s="28"/>
      <c r="J115" s="36">
        <v>20499</v>
      </c>
      <c r="K115" s="28"/>
      <c r="L115" s="28"/>
      <c r="M115" s="36"/>
      <c r="N115" s="37"/>
      <c r="O115" s="37"/>
      <c r="P115" s="28"/>
      <c r="Q115" s="37"/>
      <c r="R115" s="37"/>
      <c r="S115" s="37"/>
      <c r="T115" s="37"/>
      <c r="U115" s="38"/>
      <c r="V115" s="38"/>
      <c r="W115" s="38"/>
      <c r="X115" s="38"/>
      <c r="Y115" s="38"/>
      <c r="Z115" s="38"/>
      <c r="AA115" s="38"/>
      <c r="AB115" s="38"/>
      <c r="AC115" s="38"/>
      <c r="AD115" s="38"/>
      <c r="AE115" s="38"/>
      <c r="AF115" s="177"/>
      <c r="AG115" s="177"/>
      <c r="AH115" s="177"/>
      <c r="AI115" s="177"/>
      <c r="AJ115" s="177"/>
      <c r="AK115" s="177"/>
      <c r="AL115" s="177"/>
      <c r="AM115" s="177"/>
      <c r="AN115" s="177"/>
      <c r="AO115" s="177"/>
      <c r="AP115" s="166"/>
      <c r="AQ115" s="166"/>
      <c r="AR115" s="3"/>
      <c r="AS115" s="3"/>
      <c r="AT115" s="3"/>
      <c r="AU115" s="3"/>
      <c r="AV115" s="3"/>
      <c r="AW115" s="3"/>
      <c r="AX115" s="3"/>
      <c r="AY115" s="3"/>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row>
    <row r="116" spans="1:247" ht="78" hidden="1" customHeight="1" x14ac:dyDescent="0.3">
      <c r="A116" s="23">
        <v>4</v>
      </c>
      <c r="B116" s="24" t="s">
        <v>253</v>
      </c>
      <c r="C116" s="25" t="s">
        <v>245</v>
      </c>
      <c r="D116" s="25" t="s">
        <v>246</v>
      </c>
      <c r="E116" s="25">
        <v>2020</v>
      </c>
      <c r="F116" s="25"/>
      <c r="G116" s="40">
        <f t="shared" si="39"/>
        <v>3850</v>
      </c>
      <c r="H116" s="36"/>
      <c r="I116" s="28"/>
      <c r="J116" s="36">
        <v>3850</v>
      </c>
      <c r="K116" s="28"/>
      <c r="L116" s="28"/>
      <c r="M116" s="36"/>
      <c r="N116" s="37"/>
      <c r="O116" s="37"/>
      <c r="P116" s="28"/>
      <c r="Q116" s="37"/>
      <c r="R116" s="37"/>
      <c r="S116" s="37"/>
      <c r="T116" s="37"/>
      <c r="U116" s="38"/>
      <c r="V116" s="38"/>
      <c r="W116" s="38"/>
      <c r="X116" s="38"/>
      <c r="Y116" s="38"/>
      <c r="Z116" s="38"/>
      <c r="AA116" s="38"/>
      <c r="AB116" s="38"/>
      <c r="AC116" s="38"/>
      <c r="AD116" s="38"/>
      <c r="AE116" s="38"/>
      <c r="AF116" s="177"/>
      <c r="AG116" s="177"/>
      <c r="AH116" s="177"/>
      <c r="AI116" s="177"/>
      <c r="AJ116" s="177"/>
      <c r="AK116" s="177"/>
      <c r="AL116" s="177"/>
      <c r="AM116" s="177"/>
      <c r="AN116" s="177"/>
      <c r="AO116" s="177"/>
      <c r="AP116" s="166"/>
      <c r="AQ116" s="166"/>
      <c r="AR116" s="3"/>
      <c r="AS116" s="3"/>
      <c r="AT116" s="3"/>
      <c r="AU116" s="3"/>
      <c r="AV116" s="3"/>
      <c r="AW116" s="3"/>
      <c r="AX116" s="3"/>
      <c r="AY116" s="3"/>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row>
    <row r="117" spans="1:247" ht="78" hidden="1" customHeight="1" x14ac:dyDescent="0.3">
      <c r="A117" s="23">
        <v>5</v>
      </c>
      <c r="B117" s="24" t="s">
        <v>254</v>
      </c>
      <c r="C117" s="25" t="s">
        <v>245</v>
      </c>
      <c r="D117" s="25" t="s">
        <v>246</v>
      </c>
      <c r="E117" s="25">
        <v>2021</v>
      </c>
      <c r="F117" s="25"/>
      <c r="G117" s="40">
        <f t="shared" si="39"/>
        <v>1163</v>
      </c>
      <c r="H117" s="36"/>
      <c r="I117" s="28"/>
      <c r="J117" s="36">
        <v>1163</v>
      </c>
      <c r="K117" s="28"/>
      <c r="L117" s="28"/>
      <c r="M117" s="36"/>
      <c r="N117" s="37"/>
      <c r="O117" s="37"/>
      <c r="P117" s="28"/>
      <c r="Q117" s="37"/>
      <c r="R117" s="37"/>
      <c r="S117" s="37"/>
      <c r="T117" s="37"/>
      <c r="U117" s="38"/>
      <c r="V117" s="38"/>
      <c r="W117" s="38"/>
      <c r="X117" s="38"/>
      <c r="Y117" s="38"/>
      <c r="Z117" s="38"/>
      <c r="AA117" s="38"/>
      <c r="AB117" s="38"/>
      <c r="AC117" s="38"/>
      <c r="AD117" s="38"/>
      <c r="AE117" s="38"/>
      <c r="AF117" s="177"/>
      <c r="AG117" s="177"/>
      <c r="AH117" s="177"/>
      <c r="AI117" s="177"/>
      <c r="AJ117" s="177"/>
      <c r="AK117" s="177"/>
      <c r="AL117" s="177"/>
      <c r="AM117" s="177"/>
      <c r="AN117" s="177"/>
      <c r="AO117" s="177"/>
      <c r="AP117" s="166"/>
      <c r="AQ117" s="166"/>
      <c r="AR117" s="3"/>
      <c r="AS117" s="3"/>
      <c r="AT117" s="3"/>
      <c r="AU117" s="3"/>
      <c r="AV117" s="3"/>
      <c r="AW117" s="3"/>
      <c r="AX117" s="3"/>
      <c r="AY117" s="3"/>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row>
    <row r="118" spans="1:247" ht="78" hidden="1" customHeight="1" x14ac:dyDescent="0.3">
      <c r="A118" s="23">
        <v>6</v>
      </c>
      <c r="B118" s="24" t="s">
        <v>255</v>
      </c>
      <c r="C118" s="25" t="s">
        <v>245</v>
      </c>
      <c r="D118" s="25" t="s">
        <v>246</v>
      </c>
      <c r="E118" s="25">
        <v>2021</v>
      </c>
      <c r="F118" s="25"/>
      <c r="G118" s="40">
        <f t="shared" si="39"/>
        <v>2999</v>
      </c>
      <c r="H118" s="36"/>
      <c r="I118" s="28"/>
      <c r="J118" s="36">
        <v>2999</v>
      </c>
      <c r="K118" s="28"/>
      <c r="L118" s="28"/>
      <c r="M118" s="36"/>
      <c r="N118" s="37"/>
      <c r="O118" s="37"/>
      <c r="P118" s="28"/>
      <c r="Q118" s="37"/>
      <c r="R118" s="37"/>
      <c r="S118" s="37"/>
      <c r="T118" s="37"/>
      <c r="U118" s="38"/>
      <c r="V118" s="38"/>
      <c r="W118" s="38"/>
      <c r="X118" s="38"/>
      <c r="Y118" s="38"/>
      <c r="Z118" s="38"/>
      <c r="AA118" s="38"/>
      <c r="AB118" s="38"/>
      <c r="AC118" s="38"/>
      <c r="AD118" s="38"/>
      <c r="AE118" s="38"/>
      <c r="AF118" s="177"/>
      <c r="AG118" s="177"/>
      <c r="AH118" s="177"/>
      <c r="AI118" s="177"/>
      <c r="AJ118" s="177"/>
      <c r="AK118" s="177"/>
      <c r="AL118" s="177"/>
      <c r="AM118" s="177"/>
      <c r="AN118" s="177"/>
      <c r="AO118" s="177"/>
      <c r="AP118" s="166"/>
      <c r="AQ118" s="166"/>
      <c r="AR118" s="3"/>
      <c r="AS118" s="3"/>
      <c r="AT118" s="3"/>
      <c r="AU118" s="3"/>
      <c r="AV118" s="3"/>
      <c r="AW118" s="3"/>
      <c r="AX118" s="3"/>
      <c r="AY118" s="3"/>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row>
    <row r="119" spans="1:247" ht="78" hidden="1" customHeight="1" x14ac:dyDescent="0.3">
      <c r="A119" s="23">
        <v>7</v>
      </c>
      <c r="B119" s="24" t="s">
        <v>256</v>
      </c>
      <c r="C119" s="25" t="s">
        <v>245</v>
      </c>
      <c r="D119" s="25" t="s">
        <v>246</v>
      </c>
      <c r="E119" s="25">
        <v>2022</v>
      </c>
      <c r="F119" s="25"/>
      <c r="G119" s="40">
        <f t="shared" si="39"/>
        <v>9983</v>
      </c>
      <c r="H119" s="36"/>
      <c r="I119" s="28"/>
      <c r="J119" s="36">
        <v>9983</v>
      </c>
      <c r="K119" s="28"/>
      <c r="L119" s="28"/>
      <c r="M119" s="36"/>
      <c r="N119" s="37"/>
      <c r="O119" s="37"/>
      <c r="P119" s="28"/>
      <c r="Q119" s="37"/>
      <c r="R119" s="37"/>
      <c r="S119" s="37"/>
      <c r="T119" s="37"/>
      <c r="U119" s="38"/>
      <c r="V119" s="38"/>
      <c r="W119" s="38"/>
      <c r="X119" s="38"/>
      <c r="Y119" s="38"/>
      <c r="Z119" s="38"/>
      <c r="AA119" s="38"/>
      <c r="AB119" s="38"/>
      <c r="AC119" s="38"/>
      <c r="AD119" s="38"/>
      <c r="AE119" s="38"/>
      <c r="AF119" s="177"/>
      <c r="AG119" s="177"/>
      <c r="AH119" s="177"/>
      <c r="AI119" s="177"/>
      <c r="AJ119" s="177"/>
      <c r="AK119" s="177"/>
      <c r="AL119" s="177"/>
      <c r="AM119" s="177"/>
      <c r="AN119" s="177"/>
      <c r="AO119" s="177"/>
      <c r="AP119" s="166"/>
      <c r="AQ119" s="166"/>
      <c r="AR119" s="3"/>
      <c r="AS119" s="3"/>
      <c r="AT119" s="3"/>
      <c r="AU119" s="3"/>
      <c r="AV119" s="3"/>
      <c r="AW119" s="3"/>
      <c r="AX119" s="3"/>
      <c r="AY119" s="3"/>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row>
    <row r="120" spans="1:247" ht="78" hidden="1" customHeight="1" x14ac:dyDescent="0.3">
      <c r="A120" s="23">
        <v>8</v>
      </c>
      <c r="B120" s="24" t="s">
        <v>257</v>
      </c>
      <c r="C120" s="25" t="s">
        <v>245</v>
      </c>
      <c r="D120" s="25" t="s">
        <v>246</v>
      </c>
      <c r="E120" s="25">
        <v>2021</v>
      </c>
      <c r="F120" s="25"/>
      <c r="G120" s="40">
        <f t="shared" si="39"/>
        <v>730</v>
      </c>
      <c r="H120" s="36"/>
      <c r="I120" s="28"/>
      <c r="J120" s="36">
        <v>730</v>
      </c>
      <c r="K120" s="28"/>
      <c r="L120" s="28"/>
      <c r="M120" s="36"/>
      <c r="N120" s="37"/>
      <c r="O120" s="37"/>
      <c r="P120" s="28"/>
      <c r="Q120" s="37"/>
      <c r="R120" s="37"/>
      <c r="S120" s="37"/>
      <c r="T120" s="37"/>
      <c r="U120" s="38"/>
      <c r="V120" s="38"/>
      <c r="W120" s="38"/>
      <c r="X120" s="38"/>
      <c r="Y120" s="38"/>
      <c r="Z120" s="38"/>
      <c r="AA120" s="38"/>
      <c r="AB120" s="38"/>
      <c r="AC120" s="38"/>
      <c r="AD120" s="38"/>
      <c r="AE120" s="38"/>
      <c r="AF120" s="177"/>
      <c r="AG120" s="177"/>
      <c r="AH120" s="177"/>
      <c r="AI120" s="177"/>
      <c r="AJ120" s="177"/>
      <c r="AK120" s="177"/>
      <c r="AL120" s="177"/>
      <c r="AM120" s="177"/>
      <c r="AN120" s="177"/>
      <c r="AO120" s="177"/>
      <c r="AP120" s="166"/>
      <c r="AQ120" s="166"/>
      <c r="AR120" s="3"/>
      <c r="AS120" s="3"/>
      <c r="AT120" s="3"/>
      <c r="AU120" s="3"/>
      <c r="AV120" s="3"/>
      <c r="AW120" s="3"/>
      <c r="AX120" s="3"/>
      <c r="AY120" s="3"/>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row>
    <row r="121" spans="1:247" ht="78" hidden="1" customHeight="1" x14ac:dyDescent="0.3">
      <c r="A121" s="23">
        <v>9</v>
      </c>
      <c r="B121" s="24" t="s">
        <v>258</v>
      </c>
      <c r="C121" s="25" t="s">
        <v>245</v>
      </c>
      <c r="D121" s="25" t="s">
        <v>246</v>
      </c>
      <c r="E121" s="25">
        <v>2021</v>
      </c>
      <c r="F121" s="25"/>
      <c r="G121" s="40">
        <f t="shared" si="39"/>
        <v>550</v>
      </c>
      <c r="H121" s="36"/>
      <c r="I121" s="28"/>
      <c r="J121" s="36">
        <v>550</v>
      </c>
      <c r="K121" s="28"/>
      <c r="L121" s="28"/>
      <c r="M121" s="36"/>
      <c r="N121" s="37"/>
      <c r="O121" s="37"/>
      <c r="P121" s="28"/>
      <c r="Q121" s="37"/>
      <c r="R121" s="37"/>
      <c r="S121" s="37"/>
      <c r="T121" s="37"/>
      <c r="U121" s="38"/>
      <c r="V121" s="38"/>
      <c r="W121" s="38"/>
      <c r="X121" s="38"/>
      <c r="Y121" s="38"/>
      <c r="Z121" s="38"/>
      <c r="AA121" s="38"/>
      <c r="AB121" s="38"/>
      <c r="AC121" s="38"/>
      <c r="AD121" s="38"/>
      <c r="AE121" s="38"/>
      <c r="AF121" s="177"/>
      <c r="AG121" s="177"/>
      <c r="AH121" s="177"/>
      <c r="AI121" s="177"/>
      <c r="AJ121" s="177"/>
      <c r="AK121" s="177"/>
      <c r="AL121" s="177"/>
      <c r="AM121" s="177"/>
      <c r="AN121" s="177"/>
      <c r="AO121" s="177"/>
      <c r="AP121" s="166"/>
      <c r="AQ121" s="166"/>
      <c r="AR121" s="3"/>
      <c r="AS121" s="3"/>
      <c r="AT121" s="3"/>
      <c r="AU121" s="3"/>
      <c r="AV121" s="3"/>
      <c r="AW121" s="3"/>
      <c r="AX121" s="3"/>
      <c r="AY121" s="3"/>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row>
    <row r="122" spans="1:247" ht="78" hidden="1" customHeight="1" x14ac:dyDescent="0.3">
      <c r="A122" s="23">
        <v>10</v>
      </c>
      <c r="B122" s="24" t="s">
        <v>259</v>
      </c>
      <c r="C122" s="25" t="s">
        <v>245</v>
      </c>
      <c r="D122" s="25" t="s">
        <v>246</v>
      </c>
      <c r="E122" s="25">
        <v>2021</v>
      </c>
      <c r="F122" s="25"/>
      <c r="G122" s="40">
        <f t="shared" si="39"/>
        <v>813</v>
      </c>
      <c r="H122" s="36"/>
      <c r="I122" s="28"/>
      <c r="J122" s="36">
        <v>813</v>
      </c>
      <c r="K122" s="28"/>
      <c r="L122" s="28"/>
      <c r="M122" s="36"/>
      <c r="N122" s="37"/>
      <c r="O122" s="37"/>
      <c r="P122" s="28"/>
      <c r="Q122" s="37"/>
      <c r="R122" s="37"/>
      <c r="S122" s="37"/>
      <c r="T122" s="37"/>
      <c r="U122" s="30"/>
      <c r="V122" s="30"/>
      <c r="W122" s="30"/>
      <c r="X122" s="30"/>
      <c r="Y122" s="30"/>
      <c r="Z122" s="30"/>
      <c r="AA122" s="30"/>
      <c r="AB122" s="30"/>
      <c r="AC122" s="30"/>
      <c r="AD122" s="30"/>
      <c r="AE122" s="30"/>
      <c r="AF122" s="177"/>
      <c r="AG122" s="177"/>
      <c r="AH122" s="177"/>
      <c r="AI122" s="177"/>
      <c r="AJ122" s="177"/>
      <c r="AK122" s="177"/>
      <c r="AL122" s="177"/>
      <c r="AM122" s="177"/>
      <c r="AN122" s="177"/>
      <c r="AO122" s="177"/>
      <c r="AP122" s="166"/>
      <c r="AQ122" s="166"/>
      <c r="AR122" s="3"/>
      <c r="AS122" s="3"/>
      <c r="AT122" s="3"/>
      <c r="AU122" s="3"/>
      <c r="AV122" s="3"/>
      <c r="AW122" s="3"/>
      <c r="AX122" s="3"/>
      <c r="AY122" s="3"/>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row>
    <row r="123" spans="1:247" ht="78" hidden="1" customHeight="1" x14ac:dyDescent="0.3">
      <c r="A123" s="23">
        <v>11</v>
      </c>
      <c r="B123" s="24" t="s">
        <v>260</v>
      </c>
      <c r="C123" s="25" t="s">
        <v>245</v>
      </c>
      <c r="D123" s="25" t="s">
        <v>246</v>
      </c>
      <c r="E123" s="25">
        <v>2021</v>
      </c>
      <c r="F123" s="25"/>
      <c r="G123" s="40">
        <f t="shared" si="39"/>
        <v>1663</v>
      </c>
      <c r="H123" s="36"/>
      <c r="I123" s="28"/>
      <c r="J123" s="36">
        <v>1663</v>
      </c>
      <c r="K123" s="28"/>
      <c r="L123" s="28"/>
      <c r="M123" s="36"/>
      <c r="N123" s="37"/>
      <c r="O123" s="37"/>
      <c r="P123" s="28"/>
      <c r="Q123" s="37"/>
      <c r="R123" s="37"/>
      <c r="S123" s="37"/>
      <c r="T123" s="37"/>
      <c r="U123" s="30"/>
      <c r="V123" s="30"/>
      <c r="W123" s="30"/>
      <c r="X123" s="30"/>
      <c r="Y123" s="30"/>
      <c r="Z123" s="30"/>
      <c r="AA123" s="30"/>
      <c r="AB123" s="30"/>
      <c r="AC123" s="30"/>
      <c r="AD123" s="30"/>
      <c r="AE123" s="30"/>
      <c r="AF123" s="177"/>
      <c r="AG123" s="177"/>
      <c r="AH123" s="177"/>
      <c r="AI123" s="177"/>
      <c r="AJ123" s="177"/>
      <c r="AK123" s="177"/>
      <c r="AL123" s="177"/>
      <c r="AM123" s="177"/>
      <c r="AN123" s="177"/>
      <c r="AO123" s="177"/>
      <c r="AP123" s="166"/>
      <c r="AQ123" s="166"/>
      <c r="AR123" s="3"/>
      <c r="AS123" s="3"/>
      <c r="AT123" s="3"/>
      <c r="AU123" s="3"/>
      <c r="AV123" s="3"/>
      <c r="AW123" s="3"/>
      <c r="AX123" s="3"/>
      <c r="AY123" s="3"/>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row>
    <row r="124" spans="1:247" ht="78" hidden="1" customHeight="1" x14ac:dyDescent="0.3">
      <c r="A124" s="23">
        <v>12</v>
      </c>
      <c r="B124" s="24" t="s">
        <v>261</v>
      </c>
      <c r="C124" s="25" t="s">
        <v>245</v>
      </c>
      <c r="D124" s="25" t="s">
        <v>246</v>
      </c>
      <c r="E124" s="25">
        <v>2021</v>
      </c>
      <c r="F124" s="25"/>
      <c r="G124" s="40">
        <f t="shared" si="39"/>
        <v>974</v>
      </c>
      <c r="H124" s="36"/>
      <c r="I124" s="28"/>
      <c r="J124" s="36">
        <v>974</v>
      </c>
      <c r="K124" s="28"/>
      <c r="L124" s="28"/>
      <c r="M124" s="36"/>
      <c r="N124" s="37"/>
      <c r="O124" s="37"/>
      <c r="P124" s="28"/>
      <c r="Q124" s="37"/>
      <c r="R124" s="37"/>
      <c r="S124" s="37"/>
      <c r="T124" s="37"/>
      <c r="U124" s="30"/>
      <c r="V124" s="30"/>
      <c r="W124" s="30"/>
      <c r="X124" s="30"/>
      <c r="Y124" s="30"/>
      <c r="Z124" s="30"/>
      <c r="AA124" s="30"/>
      <c r="AB124" s="30"/>
      <c r="AC124" s="30"/>
      <c r="AD124" s="30"/>
      <c r="AE124" s="30"/>
      <c r="AF124" s="177"/>
      <c r="AG124" s="177"/>
      <c r="AH124" s="177"/>
      <c r="AI124" s="177"/>
      <c r="AJ124" s="177"/>
      <c r="AK124" s="177"/>
      <c r="AL124" s="177"/>
      <c r="AM124" s="177"/>
      <c r="AN124" s="177"/>
      <c r="AO124" s="177"/>
      <c r="AP124" s="166"/>
      <c r="AQ124" s="166"/>
      <c r="AR124" s="3"/>
      <c r="AS124" s="3"/>
      <c r="AT124" s="3"/>
      <c r="AU124" s="3"/>
      <c r="AV124" s="3"/>
      <c r="AW124" s="3"/>
      <c r="AX124" s="3"/>
      <c r="AY124" s="3"/>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row>
    <row r="125" spans="1:247" ht="78" hidden="1" customHeight="1" x14ac:dyDescent="0.3">
      <c r="A125" s="23">
        <v>13</v>
      </c>
      <c r="B125" s="24" t="s">
        <v>262</v>
      </c>
      <c r="C125" s="25" t="s">
        <v>245</v>
      </c>
      <c r="D125" s="25" t="s">
        <v>246</v>
      </c>
      <c r="E125" s="25">
        <v>2021</v>
      </c>
      <c r="F125" s="25"/>
      <c r="G125" s="40">
        <f t="shared" si="39"/>
        <v>1038</v>
      </c>
      <c r="H125" s="36"/>
      <c r="I125" s="28"/>
      <c r="J125" s="36">
        <v>1038</v>
      </c>
      <c r="K125" s="28"/>
      <c r="L125" s="28"/>
      <c r="M125" s="36"/>
      <c r="N125" s="37"/>
      <c r="O125" s="37"/>
      <c r="P125" s="28"/>
      <c r="Q125" s="37"/>
      <c r="R125" s="37"/>
      <c r="S125" s="37"/>
      <c r="T125" s="37"/>
      <c r="U125" s="30"/>
      <c r="V125" s="30"/>
      <c r="W125" s="30"/>
      <c r="X125" s="30"/>
      <c r="Y125" s="30"/>
      <c r="Z125" s="30"/>
      <c r="AA125" s="30"/>
      <c r="AB125" s="30"/>
      <c r="AC125" s="30"/>
      <c r="AD125" s="30"/>
      <c r="AE125" s="30"/>
      <c r="AF125" s="177"/>
      <c r="AG125" s="177"/>
      <c r="AH125" s="177"/>
      <c r="AI125" s="177"/>
      <c r="AJ125" s="177"/>
      <c r="AK125" s="177"/>
      <c r="AL125" s="177"/>
      <c r="AM125" s="177"/>
      <c r="AN125" s="177"/>
      <c r="AO125" s="177"/>
      <c r="AP125" s="166"/>
      <c r="AQ125" s="166"/>
      <c r="AR125" s="3"/>
      <c r="AS125" s="3"/>
      <c r="AT125" s="3"/>
      <c r="AU125" s="3"/>
      <c r="AV125" s="3"/>
      <c r="AW125" s="3"/>
      <c r="AX125" s="3"/>
      <c r="AY125" s="3"/>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row>
    <row r="126" spans="1:247" ht="78" hidden="1" customHeight="1" x14ac:dyDescent="0.3">
      <c r="A126" s="23">
        <v>14</v>
      </c>
      <c r="B126" s="24" t="s">
        <v>263</v>
      </c>
      <c r="C126" s="25" t="s">
        <v>245</v>
      </c>
      <c r="D126" s="25" t="s">
        <v>246</v>
      </c>
      <c r="E126" s="25">
        <v>2021</v>
      </c>
      <c r="F126" s="25"/>
      <c r="G126" s="40">
        <f t="shared" si="39"/>
        <v>4807</v>
      </c>
      <c r="H126" s="36"/>
      <c r="I126" s="28"/>
      <c r="J126" s="36">
        <v>4807</v>
      </c>
      <c r="K126" s="28"/>
      <c r="L126" s="28"/>
      <c r="M126" s="36"/>
      <c r="N126" s="37"/>
      <c r="O126" s="37"/>
      <c r="P126" s="28"/>
      <c r="Q126" s="37"/>
      <c r="R126" s="37"/>
      <c r="S126" s="37"/>
      <c r="T126" s="37"/>
      <c r="U126" s="30"/>
      <c r="V126" s="30"/>
      <c r="W126" s="30"/>
      <c r="X126" s="30"/>
      <c r="Y126" s="30"/>
      <c r="Z126" s="30"/>
      <c r="AA126" s="30"/>
      <c r="AB126" s="30"/>
      <c r="AC126" s="30"/>
      <c r="AD126" s="30"/>
      <c r="AE126" s="30"/>
      <c r="AF126" s="177"/>
      <c r="AG126" s="177"/>
      <c r="AH126" s="177"/>
      <c r="AI126" s="177"/>
      <c r="AJ126" s="177"/>
      <c r="AK126" s="177"/>
      <c r="AL126" s="177"/>
      <c r="AM126" s="177"/>
      <c r="AN126" s="177"/>
      <c r="AO126" s="177"/>
      <c r="AP126" s="166"/>
      <c r="AQ126" s="166"/>
      <c r="AR126" s="3"/>
      <c r="AS126" s="3"/>
      <c r="AT126" s="3"/>
      <c r="AU126" s="3"/>
      <c r="AV126" s="3"/>
      <c r="AW126" s="3"/>
      <c r="AX126" s="3"/>
      <c r="AY126" s="3"/>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row>
    <row r="127" spans="1:247" ht="78" hidden="1" customHeight="1" x14ac:dyDescent="0.3">
      <c r="A127" s="23">
        <v>15</v>
      </c>
      <c r="B127" s="24" t="s">
        <v>264</v>
      </c>
      <c r="C127" s="25" t="s">
        <v>245</v>
      </c>
      <c r="D127" s="25" t="s">
        <v>171</v>
      </c>
      <c r="E127" s="25">
        <v>2021</v>
      </c>
      <c r="F127" s="25"/>
      <c r="G127" s="40">
        <f t="shared" si="39"/>
        <v>6585</v>
      </c>
      <c r="H127" s="36"/>
      <c r="I127" s="28"/>
      <c r="J127" s="36">
        <v>6585</v>
      </c>
      <c r="K127" s="28"/>
      <c r="L127" s="28"/>
      <c r="M127" s="36"/>
      <c r="N127" s="37"/>
      <c r="O127" s="37"/>
      <c r="P127" s="28"/>
      <c r="Q127" s="37"/>
      <c r="R127" s="37"/>
      <c r="S127" s="37"/>
      <c r="T127" s="37"/>
      <c r="U127" s="30"/>
      <c r="V127" s="30"/>
      <c r="W127" s="30"/>
      <c r="X127" s="30"/>
      <c r="Y127" s="30"/>
      <c r="Z127" s="30"/>
      <c r="AA127" s="30"/>
      <c r="AB127" s="30"/>
      <c r="AC127" s="30"/>
      <c r="AD127" s="30"/>
      <c r="AE127" s="30"/>
      <c r="AF127" s="177"/>
      <c r="AG127" s="177"/>
      <c r="AH127" s="177"/>
      <c r="AI127" s="177"/>
      <c r="AJ127" s="177"/>
      <c r="AK127" s="177"/>
      <c r="AL127" s="177"/>
      <c r="AM127" s="177"/>
      <c r="AN127" s="177"/>
      <c r="AO127" s="177"/>
      <c r="AP127" s="166"/>
      <c r="AQ127" s="166"/>
      <c r="AR127" s="3"/>
      <c r="AS127" s="3"/>
      <c r="AT127" s="3"/>
      <c r="AU127" s="3"/>
      <c r="AV127" s="3"/>
      <c r="AW127" s="3"/>
      <c r="AX127" s="3"/>
      <c r="AY127" s="3"/>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row>
    <row r="128" spans="1:247" ht="78" hidden="1" customHeight="1" x14ac:dyDescent="0.3">
      <c r="A128" s="23">
        <v>16</v>
      </c>
      <c r="B128" s="24" t="s">
        <v>265</v>
      </c>
      <c r="C128" s="25" t="s">
        <v>245</v>
      </c>
      <c r="D128" s="25" t="s">
        <v>171</v>
      </c>
      <c r="E128" s="25">
        <v>2021</v>
      </c>
      <c r="F128" s="25"/>
      <c r="G128" s="40">
        <f t="shared" si="39"/>
        <v>1588</v>
      </c>
      <c r="H128" s="36"/>
      <c r="I128" s="28"/>
      <c r="J128" s="36">
        <v>1588</v>
      </c>
      <c r="K128" s="28"/>
      <c r="L128" s="28"/>
      <c r="M128" s="36"/>
      <c r="N128" s="37"/>
      <c r="O128" s="37"/>
      <c r="P128" s="28"/>
      <c r="Q128" s="37"/>
      <c r="R128" s="37"/>
      <c r="S128" s="37"/>
      <c r="T128" s="37"/>
      <c r="U128" s="30"/>
      <c r="V128" s="30"/>
      <c r="W128" s="30"/>
      <c r="X128" s="30"/>
      <c r="Y128" s="30"/>
      <c r="Z128" s="30"/>
      <c r="AA128" s="30"/>
      <c r="AB128" s="30"/>
      <c r="AC128" s="30"/>
      <c r="AD128" s="30"/>
      <c r="AE128" s="30"/>
      <c r="AF128" s="177"/>
      <c r="AG128" s="177"/>
      <c r="AH128" s="177"/>
      <c r="AI128" s="177"/>
      <c r="AJ128" s="177"/>
      <c r="AK128" s="177"/>
      <c r="AL128" s="177"/>
      <c r="AM128" s="177"/>
      <c r="AN128" s="177"/>
      <c r="AO128" s="177"/>
      <c r="AP128" s="166"/>
      <c r="AQ128" s="166"/>
      <c r="AR128" s="3"/>
      <c r="AS128" s="3"/>
      <c r="AT128" s="3"/>
      <c r="AU128" s="3"/>
      <c r="AV128" s="3"/>
      <c r="AW128" s="3"/>
      <c r="AX128" s="3"/>
      <c r="AY128" s="3"/>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row>
    <row r="129" spans="1:247" ht="78" hidden="1" customHeight="1" x14ac:dyDescent="0.3">
      <c r="A129" s="23">
        <v>17</v>
      </c>
      <c r="B129" s="24" t="s">
        <v>266</v>
      </c>
      <c r="C129" s="25" t="s">
        <v>245</v>
      </c>
      <c r="D129" s="25" t="s">
        <v>171</v>
      </c>
      <c r="E129" s="25">
        <v>2021</v>
      </c>
      <c r="F129" s="25"/>
      <c r="G129" s="40">
        <f t="shared" si="39"/>
        <v>969</v>
      </c>
      <c r="H129" s="36"/>
      <c r="I129" s="28"/>
      <c r="J129" s="36">
        <v>969</v>
      </c>
      <c r="K129" s="28"/>
      <c r="L129" s="28"/>
      <c r="M129" s="36"/>
      <c r="N129" s="37"/>
      <c r="O129" s="37"/>
      <c r="P129" s="28"/>
      <c r="Q129" s="37"/>
      <c r="R129" s="37"/>
      <c r="S129" s="37"/>
      <c r="T129" s="37"/>
      <c r="U129" s="30"/>
      <c r="V129" s="30"/>
      <c r="W129" s="30"/>
      <c r="X129" s="30"/>
      <c r="Y129" s="30"/>
      <c r="Z129" s="30"/>
      <c r="AA129" s="30"/>
      <c r="AB129" s="30"/>
      <c r="AC129" s="30"/>
      <c r="AD129" s="30"/>
      <c r="AE129" s="30"/>
      <c r="AF129" s="177"/>
      <c r="AG129" s="177"/>
      <c r="AH129" s="177"/>
      <c r="AI129" s="177"/>
      <c r="AJ129" s="177"/>
      <c r="AK129" s="177"/>
      <c r="AL129" s="177"/>
      <c r="AM129" s="177"/>
      <c r="AN129" s="177"/>
      <c r="AO129" s="177"/>
      <c r="AP129" s="166"/>
      <c r="AQ129" s="166"/>
      <c r="AR129" s="3"/>
      <c r="AS129" s="3"/>
      <c r="AT129" s="3"/>
      <c r="AU129" s="3"/>
      <c r="AV129" s="3"/>
      <c r="AW129" s="3"/>
      <c r="AX129" s="3"/>
      <c r="AY129" s="3"/>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row>
    <row r="130" spans="1:247" ht="78" hidden="1" customHeight="1" x14ac:dyDescent="0.3">
      <c r="A130" s="23">
        <v>18</v>
      </c>
      <c r="B130" s="24" t="s">
        <v>267</v>
      </c>
      <c r="C130" s="25" t="s">
        <v>245</v>
      </c>
      <c r="D130" s="25" t="s">
        <v>171</v>
      </c>
      <c r="E130" s="25">
        <v>2021</v>
      </c>
      <c r="F130" s="25"/>
      <c r="G130" s="40">
        <f t="shared" si="39"/>
        <v>915</v>
      </c>
      <c r="H130" s="36"/>
      <c r="I130" s="28"/>
      <c r="J130" s="36">
        <v>915</v>
      </c>
      <c r="K130" s="28"/>
      <c r="L130" s="28"/>
      <c r="M130" s="36"/>
      <c r="N130" s="37"/>
      <c r="O130" s="37"/>
      <c r="P130" s="28"/>
      <c r="Q130" s="37"/>
      <c r="R130" s="37"/>
      <c r="S130" s="37"/>
      <c r="T130" s="37"/>
      <c r="U130" s="30"/>
      <c r="V130" s="30"/>
      <c r="W130" s="30"/>
      <c r="X130" s="30"/>
      <c r="Y130" s="30"/>
      <c r="Z130" s="30"/>
      <c r="AA130" s="30"/>
      <c r="AB130" s="30"/>
      <c r="AC130" s="30"/>
      <c r="AD130" s="30"/>
      <c r="AE130" s="30"/>
      <c r="AF130" s="177"/>
      <c r="AG130" s="177"/>
      <c r="AH130" s="177"/>
      <c r="AI130" s="177"/>
      <c r="AJ130" s="177"/>
      <c r="AK130" s="177"/>
      <c r="AL130" s="177"/>
      <c r="AM130" s="177"/>
      <c r="AN130" s="177"/>
      <c r="AO130" s="177"/>
      <c r="AP130" s="166"/>
      <c r="AQ130" s="166"/>
      <c r="AR130" s="3"/>
      <c r="AS130" s="3"/>
      <c r="AT130" s="3"/>
      <c r="AU130" s="3"/>
      <c r="AV130" s="3"/>
      <c r="AW130" s="3"/>
      <c r="AX130" s="3"/>
      <c r="AY130" s="3"/>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row>
    <row r="131" spans="1:247" ht="78" hidden="1" customHeight="1" x14ac:dyDescent="0.3">
      <c r="A131" s="23">
        <v>19</v>
      </c>
      <c r="B131" s="24" t="s">
        <v>268</v>
      </c>
      <c r="C131" s="25" t="s">
        <v>245</v>
      </c>
      <c r="D131" s="25" t="s">
        <v>171</v>
      </c>
      <c r="E131" s="25">
        <v>2021</v>
      </c>
      <c r="F131" s="25"/>
      <c r="G131" s="40">
        <f t="shared" si="39"/>
        <v>1141</v>
      </c>
      <c r="H131" s="36"/>
      <c r="I131" s="28"/>
      <c r="J131" s="36">
        <v>1141</v>
      </c>
      <c r="K131" s="28"/>
      <c r="L131" s="28"/>
      <c r="M131" s="36"/>
      <c r="N131" s="37"/>
      <c r="O131" s="37"/>
      <c r="P131" s="28"/>
      <c r="Q131" s="37"/>
      <c r="R131" s="37"/>
      <c r="S131" s="37"/>
      <c r="T131" s="37"/>
      <c r="U131" s="30"/>
      <c r="V131" s="30"/>
      <c r="W131" s="30"/>
      <c r="X131" s="30"/>
      <c r="Y131" s="30"/>
      <c r="Z131" s="30"/>
      <c r="AA131" s="30"/>
      <c r="AB131" s="30"/>
      <c r="AC131" s="30"/>
      <c r="AD131" s="30"/>
      <c r="AE131" s="30"/>
      <c r="AF131" s="177"/>
      <c r="AG131" s="177"/>
      <c r="AH131" s="177"/>
      <c r="AI131" s="177"/>
      <c r="AJ131" s="177"/>
      <c r="AK131" s="177"/>
      <c r="AL131" s="177"/>
      <c r="AM131" s="177"/>
      <c r="AN131" s="177"/>
      <c r="AO131" s="177"/>
      <c r="AP131" s="166"/>
      <c r="AQ131" s="166"/>
      <c r="AR131" s="3"/>
      <c r="AS131" s="3"/>
      <c r="AT131" s="3"/>
      <c r="AU131" s="3"/>
      <c r="AV131" s="3"/>
      <c r="AW131" s="3"/>
      <c r="AX131" s="3"/>
      <c r="AY131" s="3"/>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row>
    <row r="132" spans="1:247" ht="78" hidden="1" customHeight="1" x14ac:dyDescent="0.3">
      <c r="A132" s="23">
        <v>20</v>
      </c>
      <c r="B132" s="24" t="s">
        <v>269</v>
      </c>
      <c r="C132" s="25" t="s">
        <v>245</v>
      </c>
      <c r="D132" s="25" t="s">
        <v>171</v>
      </c>
      <c r="E132" s="25">
        <v>2021</v>
      </c>
      <c r="F132" s="25"/>
      <c r="G132" s="40">
        <f t="shared" si="39"/>
        <v>528</v>
      </c>
      <c r="H132" s="36"/>
      <c r="I132" s="28"/>
      <c r="J132" s="36">
        <v>528</v>
      </c>
      <c r="K132" s="28"/>
      <c r="L132" s="28"/>
      <c r="M132" s="36"/>
      <c r="N132" s="37"/>
      <c r="O132" s="37"/>
      <c r="P132" s="28"/>
      <c r="Q132" s="37"/>
      <c r="R132" s="37"/>
      <c r="S132" s="37"/>
      <c r="T132" s="37"/>
      <c r="U132" s="30"/>
      <c r="V132" s="30"/>
      <c r="W132" s="30"/>
      <c r="X132" s="30"/>
      <c r="Y132" s="30"/>
      <c r="Z132" s="30"/>
      <c r="AA132" s="30"/>
      <c r="AB132" s="30"/>
      <c r="AC132" s="30"/>
      <c r="AD132" s="30"/>
      <c r="AE132" s="30"/>
      <c r="AF132" s="177"/>
      <c r="AG132" s="177"/>
      <c r="AH132" s="177"/>
      <c r="AI132" s="177"/>
      <c r="AJ132" s="177"/>
      <c r="AK132" s="177"/>
      <c r="AL132" s="177"/>
      <c r="AM132" s="177"/>
      <c r="AN132" s="177"/>
      <c r="AO132" s="177"/>
      <c r="AP132" s="166"/>
      <c r="AQ132" s="166"/>
      <c r="AR132" s="3"/>
      <c r="AS132" s="3"/>
      <c r="AT132" s="3"/>
      <c r="AU132" s="3"/>
      <c r="AV132" s="3"/>
      <c r="AW132" s="3"/>
      <c r="AX132" s="3"/>
      <c r="AY132" s="3"/>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row>
    <row r="133" spans="1:247" ht="78" hidden="1" customHeight="1" x14ac:dyDescent="0.3">
      <c r="A133" s="23">
        <v>21</v>
      </c>
      <c r="B133" s="24" t="s">
        <v>270</v>
      </c>
      <c r="C133" s="25" t="s">
        <v>245</v>
      </c>
      <c r="D133" s="25" t="s">
        <v>171</v>
      </c>
      <c r="E133" s="25">
        <v>2021</v>
      </c>
      <c r="F133" s="25"/>
      <c r="G133" s="40">
        <f t="shared" si="39"/>
        <v>2675</v>
      </c>
      <c r="H133" s="36"/>
      <c r="I133" s="28"/>
      <c r="J133" s="36">
        <v>2675</v>
      </c>
      <c r="K133" s="28"/>
      <c r="L133" s="28"/>
      <c r="M133" s="36"/>
      <c r="N133" s="37"/>
      <c r="O133" s="37"/>
      <c r="P133" s="28"/>
      <c r="Q133" s="37"/>
      <c r="R133" s="37"/>
      <c r="S133" s="37"/>
      <c r="T133" s="37"/>
      <c r="U133" s="30"/>
      <c r="V133" s="30"/>
      <c r="W133" s="30"/>
      <c r="X133" s="30"/>
      <c r="Y133" s="30"/>
      <c r="Z133" s="30"/>
      <c r="AA133" s="30"/>
      <c r="AB133" s="30"/>
      <c r="AC133" s="30"/>
      <c r="AD133" s="30"/>
      <c r="AE133" s="30"/>
      <c r="AF133" s="177"/>
      <c r="AG133" s="177"/>
      <c r="AH133" s="177"/>
      <c r="AI133" s="177"/>
      <c r="AJ133" s="177"/>
      <c r="AK133" s="177"/>
      <c r="AL133" s="177"/>
      <c r="AM133" s="177"/>
      <c r="AN133" s="177"/>
      <c r="AO133" s="177"/>
      <c r="AP133" s="166"/>
      <c r="AQ133" s="166"/>
      <c r="AR133" s="3"/>
      <c r="AS133" s="3"/>
      <c r="AT133" s="3"/>
      <c r="AU133" s="3"/>
      <c r="AV133" s="3"/>
      <c r="AW133" s="3"/>
      <c r="AX133" s="3"/>
      <c r="AY133" s="3"/>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row>
    <row r="134" spans="1:247" ht="78" hidden="1" customHeight="1" x14ac:dyDescent="0.3">
      <c r="A134" s="23">
        <v>22</v>
      </c>
      <c r="B134" s="24" t="s">
        <v>271</v>
      </c>
      <c r="C134" s="25" t="s">
        <v>245</v>
      </c>
      <c r="D134" s="25" t="s">
        <v>171</v>
      </c>
      <c r="E134" s="25">
        <v>2021</v>
      </c>
      <c r="F134" s="25"/>
      <c r="G134" s="40">
        <f t="shared" si="39"/>
        <v>3000</v>
      </c>
      <c r="H134" s="36"/>
      <c r="I134" s="28"/>
      <c r="J134" s="36">
        <v>3000</v>
      </c>
      <c r="K134" s="28"/>
      <c r="L134" s="28"/>
      <c r="M134" s="36"/>
      <c r="N134" s="37"/>
      <c r="O134" s="37"/>
      <c r="P134" s="28"/>
      <c r="Q134" s="37"/>
      <c r="R134" s="37"/>
      <c r="S134" s="37"/>
      <c r="T134" s="37"/>
      <c r="U134" s="30"/>
      <c r="V134" s="30"/>
      <c r="W134" s="30"/>
      <c r="X134" s="30"/>
      <c r="Y134" s="30"/>
      <c r="Z134" s="30"/>
      <c r="AA134" s="30"/>
      <c r="AB134" s="30"/>
      <c r="AC134" s="30"/>
      <c r="AD134" s="30"/>
      <c r="AE134" s="30"/>
      <c r="AF134" s="177"/>
      <c r="AG134" s="177"/>
      <c r="AH134" s="177"/>
      <c r="AI134" s="177"/>
      <c r="AJ134" s="177"/>
      <c r="AK134" s="177"/>
      <c r="AL134" s="177"/>
      <c r="AM134" s="177"/>
      <c r="AN134" s="177"/>
      <c r="AO134" s="177"/>
      <c r="AP134" s="166"/>
      <c r="AQ134" s="166"/>
      <c r="AR134" s="3"/>
      <c r="AS134" s="3"/>
      <c r="AT134" s="3"/>
      <c r="AU134" s="3"/>
      <c r="AV134" s="3"/>
      <c r="AW134" s="3"/>
      <c r="AX134" s="3"/>
      <c r="AY134" s="3"/>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row>
    <row r="135" spans="1:247" ht="78" hidden="1" customHeight="1" x14ac:dyDescent="0.3">
      <c r="A135" s="23">
        <v>23</v>
      </c>
      <c r="B135" s="24" t="s">
        <v>272</v>
      </c>
      <c r="C135" s="25" t="s">
        <v>245</v>
      </c>
      <c r="D135" s="25" t="s">
        <v>171</v>
      </c>
      <c r="E135" s="25">
        <v>2021</v>
      </c>
      <c r="F135" s="25"/>
      <c r="G135" s="40">
        <f t="shared" si="39"/>
        <v>956</v>
      </c>
      <c r="H135" s="36"/>
      <c r="I135" s="28"/>
      <c r="J135" s="36">
        <v>956</v>
      </c>
      <c r="K135" s="28"/>
      <c r="L135" s="28"/>
      <c r="M135" s="36"/>
      <c r="N135" s="37"/>
      <c r="O135" s="37"/>
      <c r="P135" s="28"/>
      <c r="Q135" s="37"/>
      <c r="R135" s="37"/>
      <c r="S135" s="37"/>
      <c r="T135" s="37"/>
      <c r="U135" s="30"/>
      <c r="V135" s="30"/>
      <c r="W135" s="30"/>
      <c r="X135" s="30"/>
      <c r="Y135" s="30"/>
      <c r="Z135" s="30"/>
      <c r="AA135" s="30"/>
      <c r="AB135" s="30"/>
      <c r="AC135" s="30"/>
      <c r="AD135" s="30"/>
      <c r="AE135" s="30"/>
      <c r="AF135" s="177"/>
      <c r="AG135" s="177"/>
      <c r="AH135" s="177"/>
      <c r="AI135" s="177"/>
      <c r="AJ135" s="177"/>
      <c r="AK135" s="177"/>
      <c r="AL135" s="177"/>
      <c r="AM135" s="177"/>
      <c r="AN135" s="177"/>
      <c r="AO135" s="177"/>
      <c r="AP135" s="166"/>
      <c r="AQ135" s="166"/>
      <c r="AR135" s="3"/>
      <c r="AS135" s="3"/>
      <c r="AT135" s="3"/>
      <c r="AU135" s="3"/>
      <c r="AV135" s="3"/>
      <c r="AW135" s="3"/>
      <c r="AX135" s="3"/>
      <c r="AY135" s="3"/>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row>
    <row r="136" spans="1:247" ht="78" hidden="1" customHeight="1" x14ac:dyDescent="0.3">
      <c r="A136" s="23">
        <v>24</v>
      </c>
      <c r="B136" s="24" t="s">
        <v>273</v>
      </c>
      <c r="C136" s="25" t="s">
        <v>245</v>
      </c>
      <c r="D136" s="25" t="s">
        <v>171</v>
      </c>
      <c r="E136" s="25">
        <v>2021</v>
      </c>
      <c r="F136" s="25"/>
      <c r="G136" s="40">
        <f t="shared" si="39"/>
        <v>12956</v>
      </c>
      <c r="H136" s="36"/>
      <c r="I136" s="28"/>
      <c r="J136" s="36">
        <v>12956</v>
      </c>
      <c r="K136" s="28"/>
      <c r="L136" s="28"/>
      <c r="M136" s="36"/>
      <c r="N136" s="37"/>
      <c r="O136" s="37"/>
      <c r="P136" s="28"/>
      <c r="Q136" s="37"/>
      <c r="R136" s="37"/>
      <c r="S136" s="37"/>
      <c r="T136" s="37"/>
      <c r="U136" s="30"/>
      <c r="V136" s="30"/>
      <c r="W136" s="30"/>
      <c r="X136" s="30"/>
      <c r="Y136" s="30"/>
      <c r="Z136" s="30"/>
      <c r="AA136" s="30"/>
      <c r="AB136" s="30"/>
      <c r="AC136" s="30"/>
      <c r="AD136" s="30"/>
      <c r="AE136" s="30"/>
      <c r="AF136" s="177"/>
      <c r="AG136" s="177"/>
      <c r="AH136" s="177"/>
      <c r="AI136" s="177"/>
      <c r="AJ136" s="177"/>
      <c r="AK136" s="177"/>
      <c r="AL136" s="177"/>
      <c r="AM136" s="177"/>
      <c r="AN136" s="177"/>
      <c r="AO136" s="177"/>
      <c r="AP136" s="166"/>
      <c r="AQ136" s="166"/>
      <c r="AR136" s="3"/>
      <c r="AS136" s="3"/>
      <c r="AT136" s="3"/>
      <c r="AU136" s="3"/>
      <c r="AV136" s="3"/>
      <c r="AW136" s="3"/>
      <c r="AX136" s="3"/>
      <c r="AY136" s="3"/>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row>
    <row r="137" spans="1:247" ht="78" hidden="1" customHeight="1" x14ac:dyDescent="0.3">
      <c r="A137" s="23">
        <v>25</v>
      </c>
      <c r="B137" s="24" t="s">
        <v>274</v>
      </c>
      <c r="C137" s="25" t="s">
        <v>245</v>
      </c>
      <c r="D137" s="25" t="s">
        <v>171</v>
      </c>
      <c r="E137" s="25">
        <v>2021</v>
      </c>
      <c r="F137" s="25"/>
      <c r="G137" s="40">
        <f t="shared" si="39"/>
        <v>13246</v>
      </c>
      <c r="H137" s="36"/>
      <c r="I137" s="28"/>
      <c r="J137" s="36">
        <v>13246</v>
      </c>
      <c r="K137" s="28"/>
      <c r="L137" s="28"/>
      <c r="M137" s="36"/>
      <c r="N137" s="37"/>
      <c r="O137" s="37"/>
      <c r="P137" s="28"/>
      <c r="Q137" s="37"/>
      <c r="R137" s="37"/>
      <c r="S137" s="37"/>
      <c r="T137" s="37"/>
      <c r="U137" s="30"/>
      <c r="V137" s="30"/>
      <c r="W137" s="30"/>
      <c r="X137" s="30"/>
      <c r="Y137" s="30"/>
      <c r="Z137" s="30"/>
      <c r="AA137" s="30"/>
      <c r="AB137" s="30"/>
      <c r="AC137" s="30"/>
      <c r="AD137" s="30"/>
      <c r="AE137" s="30"/>
      <c r="AF137" s="177"/>
      <c r="AG137" s="177"/>
      <c r="AH137" s="177"/>
      <c r="AI137" s="177"/>
      <c r="AJ137" s="177"/>
      <c r="AK137" s="177"/>
      <c r="AL137" s="177"/>
      <c r="AM137" s="177"/>
      <c r="AN137" s="177"/>
      <c r="AO137" s="177"/>
      <c r="AP137" s="166"/>
      <c r="AQ137" s="166"/>
      <c r="AR137" s="3"/>
      <c r="AS137" s="3"/>
      <c r="AT137" s="3"/>
      <c r="AU137" s="3"/>
      <c r="AV137" s="3"/>
      <c r="AW137" s="3"/>
      <c r="AX137" s="3"/>
      <c r="AY137" s="3"/>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row>
    <row r="138" spans="1:247" ht="78" hidden="1" customHeight="1" x14ac:dyDescent="0.3">
      <c r="A138" s="23">
        <v>26</v>
      </c>
      <c r="B138" s="24" t="s">
        <v>275</v>
      </c>
      <c r="C138" s="25" t="s">
        <v>245</v>
      </c>
      <c r="D138" s="25" t="s">
        <v>171</v>
      </c>
      <c r="E138" s="25">
        <v>2021</v>
      </c>
      <c r="F138" s="25"/>
      <c r="G138" s="40">
        <f t="shared" si="39"/>
        <v>1165</v>
      </c>
      <c r="H138" s="36"/>
      <c r="I138" s="28"/>
      <c r="J138" s="36">
        <v>1165</v>
      </c>
      <c r="K138" s="28"/>
      <c r="L138" s="28"/>
      <c r="M138" s="36"/>
      <c r="N138" s="37"/>
      <c r="O138" s="37"/>
      <c r="P138" s="28"/>
      <c r="Q138" s="37"/>
      <c r="R138" s="37"/>
      <c r="S138" s="37"/>
      <c r="T138" s="37"/>
      <c r="U138" s="30"/>
      <c r="V138" s="30"/>
      <c r="W138" s="30"/>
      <c r="X138" s="30"/>
      <c r="Y138" s="30"/>
      <c r="Z138" s="30"/>
      <c r="AA138" s="30"/>
      <c r="AB138" s="30"/>
      <c r="AC138" s="30"/>
      <c r="AD138" s="30"/>
      <c r="AE138" s="30"/>
      <c r="AF138" s="177"/>
      <c r="AG138" s="177"/>
      <c r="AH138" s="177"/>
      <c r="AI138" s="177"/>
      <c r="AJ138" s="177"/>
      <c r="AK138" s="177"/>
      <c r="AL138" s="177"/>
      <c r="AM138" s="177"/>
      <c r="AN138" s="177"/>
      <c r="AO138" s="177"/>
      <c r="AP138" s="166"/>
      <c r="AQ138" s="166"/>
      <c r="AR138" s="3"/>
      <c r="AS138" s="3"/>
      <c r="AT138" s="3"/>
      <c r="AU138" s="3"/>
      <c r="AV138" s="3"/>
      <c r="AW138" s="3"/>
      <c r="AX138" s="3"/>
      <c r="AY138" s="3"/>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row>
    <row r="139" spans="1:247" ht="78" hidden="1" customHeight="1" x14ac:dyDescent="0.3">
      <c r="A139" s="23">
        <v>27</v>
      </c>
      <c r="B139" s="24" t="s">
        <v>276</v>
      </c>
      <c r="C139" s="25" t="s">
        <v>245</v>
      </c>
      <c r="D139" s="25" t="s">
        <v>246</v>
      </c>
      <c r="E139" s="25">
        <v>2021</v>
      </c>
      <c r="F139" s="25"/>
      <c r="G139" s="40">
        <f t="shared" si="39"/>
        <v>530</v>
      </c>
      <c r="H139" s="36"/>
      <c r="I139" s="28"/>
      <c r="J139" s="36">
        <v>530</v>
      </c>
      <c r="K139" s="28"/>
      <c r="L139" s="28"/>
      <c r="M139" s="36"/>
      <c r="N139" s="37"/>
      <c r="O139" s="37"/>
      <c r="P139" s="28"/>
      <c r="Q139" s="37"/>
      <c r="R139" s="37"/>
      <c r="S139" s="37"/>
      <c r="T139" s="37"/>
      <c r="U139" s="30"/>
      <c r="V139" s="30"/>
      <c r="W139" s="30"/>
      <c r="X139" s="30"/>
      <c r="Y139" s="30"/>
      <c r="Z139" s="30"/>
      <c r="AA139" s="30"/>
      <c r="AB139" s="30"/>
      <c r="AC139" s="30"/>
      <c r="AD139" s="30"/>
      <c r="AE139" s="30"/>
      <c r="AF139" s="177"/>
      <c r="AG139" s="177"/>
      <c r="AH139" s="177"/>
      <c r="AI139" s="177"/>
      <c r="AJ139" s="177"/>
      <c r="AK139" s="177"/>
      <c r="AL139" s="177"/>
      <c r="AM139" s="177"/>
      <c r="AN139" s="177"/>
      <c r="AO139" s="177"/>
      <c r="AP139" s="166"/>
      <c r="AQ139" s="166"/>
      <c r="AR139" s="3"/>
      <c r="AS139" s="3"/>
      <c r="AT139" s="3"/>
      <c r="AU139" s="3"/>
      <c r="AV139" s="3"/>
      <c r="AW139" s="3"/>
      <c r="AX139" s="3"/>
      <c r="AY139" s="3"/>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row>
    <row r="140" spans="1:247" ht="78" hidden="1" customHeight="1" x14ac:dyDescent="0.3">
      <c r="A140" s="23">
        <v>28</v>
      </c>
      <c r="B140" s="24" t="s">
        <v>277</v>
      </c>
      <c r="C140" s="25" t="s">
        <v>245</v>
      </c>
      <c r="D140" s="25" t="s">
        <v>171</v>
      </c>
      <c r="E140" s="25">
        <v>2021</v>
      </c>
      <c r="F140" s="25"/>
      <c r="G140" s="40">
        <f t="shared" si="39"/>
        <v>772</v>
      </c>
      <c r="H140" s="36"/>
      <c r="I140" s="28"/>
      <c r="J140" s="36">
        <v>772</v>
      </c>
      <c r="K140" s="28"/>
      <c r="L140" s="28"/>
      <c r="M140" s="36"/>
      <c r="N140" s="37"/>
      <c r="O140" s="37"/>
      <c r="P140" s="28"/>
      <c r="Q140" s="37"/>
      <c r="R140" s="37"/>
      <c r="S140" s="37"/>
      <c r="T140" s="37"/>
      <c r="U140" s="30"/>
      <c r="V140" s="30"/>
      <c r="W140" s="30"/>
      <c r="X140" s="30"/>
      <c r="Y140" s="30"/>
      <c r="Z140" s="30"/>
      <c r="AA140" s="30"/>
      <c r="AB140" s="30"/>
      <c r="AC140" s="30"/>
      <c r="AD140" s="30"/>
      <c r="AE140" s="30"/>
      <c r="AF140" s="177"/>
      <c r="AG140" s="177"/>
      <c r="AH140" s="177"/>
      <c r="AI140" s="177"/>
      <c r="AJ140" s="177"/>
      <c r="AK140" s="177"/>
      <c r="AL140" s="177"/>
      <c r="AM140" s="177"/>
      <c r="AN140" s="177"/>
      <c r="AO140" s="177"/>
      <c r="AP140" s="166"/>
      <c r="AQ140" s="166"/>
      <c r="AR140" s="3"/>
      <c r="AS140" s="3"/>
      <c r="AT140" s="3"/>
      <c r="AU140" s="3"/>
      <c r="AV140" s="3"/>
      <c r="AW140" s="3"/>
      <c r="AX140" s="3"/>
      <c r="AY140" s="3"/>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row>
    <row r="141" spans="1:247" ht="78" hidden="1" customHeight="1" x14ac:dyDescent="0.3">
      <c r="A141" s="23">
        <v>29</v>
      </c>
      <c r="B141" s="24" t="s">
        <v>278</v>
      </c>
      <c r="C141" s="25" t="s">
        <v>245</v>
      </c>
      <c r="D141" s="25" t="s">
        <v>171</v>
      </c>
      <c r="E141" s="25">
        <v>2021</v>
      </c>
      <c r="F141" s="25"/>
      <c r="G141" s="40">
        <f t="shared" si="39"/>
        <v>1199</v>
      </c>
      <c r="H141" s="36"/>
      <c r="I141" s="28"/>
      <c r="J141" s="36">
        <v>1199</v>
      </c>
      <c r="K141" s="28"/>
      <c r="L141" s="28"/>
      <c r="M141" s="36"/>
      <c r="N141" s="37"/>
      <c r="O141" s="37"/>
      <c r="P141" s="28"/>
      <c r="Q141" s="37"/>
      <c r="R141" s="37"/>
      <c r="S141" s="37"/>
      <c r="T141" s="37"/>
      <c r="U141" s="30"/>
      <c r="V141" s="30"/>
      <c r="W141" s="30"/>
      <c r="X141" s="30"/>
      <c r="Y141" s="30"/>
      <c r="Z141" s="30"/>
      <c r="AA141" s="30"/>
      <c r="AB141" s="30"/>
      <c r="AC141" s="30"/>
      <c r="AD141" s="30"/>
      <c r="AE141" s="30"/>
      <c r="AF141" s="177"/>
      <c r="AG141" s="177"/>
      <c r="AH141" s="177"/>
      <c r="AI141" s="177"/>
      <c r="AJ141" s="177"/>
      <c r="AK141" s="177"/>
      <c r="AL141" s="177"/>
      <c r="AM141" s="177"/>
      <c r="AN141" s="177"/>
      <c r="AO141" s="177"/>
      <c r="AP141" s="166"/>
      <c r="AQ141" s="166"/>
      <c r="AR141" s="3"/>
      <c r="AS141" s="3"/>
      <c r="AT141" s="3"/>
      <c r="AU141" s="3"/>
      <c r="AV141" s="3"/>
      <c r="AW141" s="3"/>
      <c r="AX141" s="3"/>
      <c r="AY141" s="3"/>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row>
    <row r="142" spans="1:247" ht="78" hidden="1" customHeight="1" x14ac:dyDescent="0.3">
      <c r="A142" s="23">
        <v>30</v>
      </c>
      <c r="B142" s="24" t="s">
        <v>279</v>
      </c>
      <c r="C142" s="25" t="s">
        <v>245</v>
      </c>
      <c r="D142" s="25" t="s">
        <v>171</v>
      </c>
      <c r="E142" s="25">
        <v>2021</v>
      </c>
      <c r="F142" s="25"/>
      <c r="G142" s="40">
        <f t="shared" si="39"/>
        <v>3800</v>
      </c>
      <c r="H142" s="36"/>
      <c r="I142" s="28"/>
      <c r="J142" s="36">
        <v>3800</v>
      </c>
      <c r="K142" s="28"/>
      <c r="L142" s="28"/>
      <c r="M142" s="36"/>
      <c r="N142" s="37"/>
      <c r="O142" s="37"/>
      <c r="P142" s="28"/>
      <c r="Q142" s="37"/>
      <c r="R142" s="37"/>
      <c r="S142" s="37"/>
      <c r="T142" s="37"/>
      <c r="U142" s="30"/>
      <c r="V142" s="30"/>
      <c r="W142" s="30"/>
      <c r="X142" s="30"/>
      <c r="Y142" s="30"/>
      <c r="Z142" s="30"/>
      <c r="AA142" s="30"/>
      <c r="AB142" s="30"/>
      <c r="AC142" s="30"/>
      <c r="AD142" s="30"/>
      <c r="AE142" s="30"/>
      <c r="AF142" s="177"/>
      <c r="AG142" s="177"/>
      <c r="AH142" s="177"/>
      <c r="AI142" s="177"/>
      <c r="AJ142" s="177"/>
      <c r="AK142" s="177"/>
      <c r="AL142" s="177"/>
      <c r="AM142" s="177"/>
      <c r="AN142" s="177"/>
      <c r="AO142" s="177"/>
      <c r="AP142" s="166"/>
      <c r="AQ142" s="166"/>
      <c r="AR142" s="3"/>
      <c r="AS142" s="3"/>
      <c r="AT142" s="3"/>
      <c r="AU142" s="3"/>
      <c r="AV142" s="3"/>
      <c r="AW142" s="3"/>
      <c r="AX142" s="3"/>
      <c r="AY142" s="3"/>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row>
    <row r="143" spans="1:247" ht="78" hidden="1" customHeight="1" x14ac:dyDescent="0.3">
      <c r="A143" s="23">
        <v>31</v>
      </c>
      <c r="B143" s="24" t="s">
        <v>280</v>
      </c>
      <c r="C143" s="25" t="s">
        <v>245</v>
      </c>
      <c r="D143" s="25" t="s">
        <v>171</v>
      </c>
      <c r="E143" s="25">
        <v>2021</v>
      </c>
      <c r="F143" s="25"/>
      <c r="G143" s="40">
        <f t="shared" si="39"/>
        <v>3670</v>
      </c>
      <c r="H143" s="36"/>
      <c r="I143" s="28"/>
      <c r="J143" s="36">
        <v>3670</v>
      </c>
      <c r="K143" s="28"/>
      <c r="L143" s="28"/>
      <c r="M143" s="36"/>
      <c r="N143" s="37"/>
      <c r="O143" s="37"/>
      <c r="P143" s="28"/>
      <c r="Q143" s="37"/>
      <c r="R143" s="37"/>
      <c r="S143" s="37"/>
      <c r="T143" s="37"/>
      <c r="U143" s="30"/>
      <c r="V143" s="30"/>
      <c r="W143" s="30"/>
      <c r="X143" s="30"/>
      <c r="Y143" s="30"/>
      <c r="Z143" s="30"/>
      <c r="AA143" s="30"/>
      <c r="AB143" s="30"/>
      <c r="AC143" s="30"/>
      <c r="AD143" s="30"/>
      <c r="AE143" s="30"/>
      <c r="AF143" s="177"/>
      <c r="AG143" s="177"/>
      <c r="AH143" s="177"/>
      <c r="AI143" s="177"/>
      <c r="AJ143" s="177"/>
      <c r="AK143" s="177"/>
      <c r="AL143" s="177"/>
      <c r="AM143" s="177"/>
      <c r="AN143" s="177"/>
      <c r="AO143" s="177"/>
      <c r="AP143" s="166"/>
      <c r="AQ143" s="166"/>
      <c r="AR143" s="3"/>
      <c r="AS143" s="3"/>
      <c r="AT143" s="3"/>
      <c r="AU143" s="3"/>
      <c r="AV143" s="3"/>
      <c r="AW143" s="3"/>
      <c r="AX143" s="3"/>
      <c r="AY143" s="3"/>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row>
    <row r="144" spans="1:247" ht="78" hidden="1" customHeight="1" x14ac:dyDescent="0.3">
      <c r="A144" s="23">
        <v>32</v>
      </c>
      <c r="B144" s="24" t="s">
        <v>281</v>
      </c>
      <c r="C144" s="25" t="s">
        <v>245</v>
      </c>
      <c r="D144" s="25">
        <v>2021</v>
      </c>
      <c r="E144" s="25">
        <v>2022</v>
      </c>
      <c r="F144" s="25"/>
      <c r="G144" s="40">
        <f t="shared" si="39"/>
        <v>387</v>
      </c>
      <c r="H144" s="36"/>
      <c r="I144" s="28"/>
      <c r="J144" s="36">
        <v>387</v>
      </c>
      <c r="K144" s="28"/>
      <c r="L144" s="28"/>
      <c r="M144" s="36"/>
      <c r="N144" s="37"/>
      <c r="O144" s="37"/>
      <c r="P144" s="28"/>
      <c r="Q144" s="37"/>
      <c r="R144" s="37"/>
      <c r="S144" s="37"/>
      <c r="T144" s="37"/>
      <c r="U144" s="30"/>
      <c r="V144" s="30"/>
      <c r="W144" s="30"/>
      <c r="X144" s="30"/>
      <c r="Y144" s="30"/>
      <c r="Z144" s="30"/>
      <c r="AA144" s="30"/>
      <c r="AB144" s="30"/>
      <c r="AC144" s="30"/>
      <c r="AD144" s="30"/>
      <c r="AE144" s="30"/>
      <c r="AF144" s="177"/>
      <c r="AG144" s="177"/>
      <c r="AH144" s="177"/>
      <c r="AI144" s="177"/>
      <c r="AJ144" s="177"/>
      <c r="AK144" s="177"/>
      <c r="AL144" s="177"/>
      <c r="AM144" s="177"/>
      <c r="AN144" s="177"/>
      <c r="AO144" s="177"/>
      <c r="AP144" s="166"/>
      <c r="AQ144" s="166"/>
      <c r="AR144" s="3"/>
      <c r="AS144" s="3"/>
      <c r="AT144" s="3"/>
      <c r="AU144" s="3"/>
      <c r="AV144" s="3"/>
      <c r="AW144" s="3"/>
      <c r="AX144" s="3"/>
      <c r="AY144" s="3"/>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row>
    <row r="145" spans="1:247" ht="78" hidden="1" customHeight="1" x14ac:dyDescent="0.3">
      <c r="A145" s="23">
        <v>33</v>
      </c>
      <c r="B145" s="24" t="s">
        <v>282</v>
      </c>
      <c r="C145" s="25" t="s">
        <v>245</v>
      </c>
      <c r="D145" s="25">
        <v>2021</v>
      </c>
      <c r="E145" s="25">
        <v>2022</v>
      </c>
      <c r="F145" s="25"/>
      <c r="G145" s="40">
        <f t="shared" si="39"/>
        <v>2191</v>
      </c>
      <c r="H145" s="36"/>
      <c r="I145" s="28"/>
      <c r="J145" s="36">
        <v>2191</v>
      </c>
      <c r="K145" s="28"/>
      <c r="L145" s="28"/>
      <c r="M145" s="36"/>
      <c r="N145" s="37"/>
      <c r="O145" s="37"/>
      <c r="P145" s="28"/>
      <c r="Q145" s="37"/>
      <c r="R145" s="37"/>
      <c r="S145" s="37"/>
      <c r="T145" s="37"/>
      <c r="U145" s="30"/>
      <c r="V145" s="30"/>
      <c r="W145" s="30"/>
      <c r="X145" s="30"/>
      <c r="Y145" s="30"/>
      <c r="Z145" s="30"/>
      <c r="AA145" s="30"/>
      <c r="AB145" s="30"/>
      <c r="AC145" s="30"/>
      <c r="AD145" s="30"/>
      <c r="AE145" s="30"/>
      <c r="AF145" s="177"/>
      <c r="AG145" s="177"/>
      <c r="AH145" s="177"/>
      <c r="AI145" s="177"/>
      <c r="AJ145" s="177"/>
      <c r="AK145" s="177"/>
      <c r="AL145" s="177"/>
      <c r="AM145" s="177"/>
      <c r="AN145" s="177"/>
      <c r="AO145" s="177"/>
      <c r="AP145" s="166"/>
      <c r="AQ145" s="166"/>
      <c r="AR145" s="3"/>
      <c r="AS145" s="3"/>
      <c r="AT145" s="3"/>
      <c r="AU145" s="3"/>
      <c r="AV145" s="3"/>
      <c r="AW145" s="3"/>
      <c r="AX145" s="3"/>
      <c r="AY145" s="3"/>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row>
    <row r="146" spans="1:247" ht="78" hidden="1" customHeight="1" x14ac:dyDescent="0.3">
      <c r="A146" s="23">
        <v>34</v>
      </c>
      <c r="B146" s="24" t="s">
        <v>283</v>
      </c>
      <c r="C146" s="25" t="s">
        <v>245</v>
      </c>
      <c r="D146" s="25">
        <v>2021</v>
      </c>
      <c r="E146" s="25">
        <v>2022</v>
      </c>
      <c r="F146" s="25"/>
      <c r="G146" s="40">
        <f t="shared" si="39"/>
        <v>6949</v>
      </c>
      <c r="H146" s="36"/>
      <c r="I146" s="28"/>
      <c r="J146" s="36">
        <v>6949</v>
      </c>
      <c r="K146" s="28"/>
      <c r="L146" s="28"/>
      <c r="M146" s="36"/>
      <c r="N146" s="37"/>
      <c r="O146" s="37"/>
      <c r="P146" s="28"/>
      <c r="Q146" s="37"/>
      <c r="R146" s="37"/>
      <c r="S146" s="37"/>
      <c r="T146" s="37"/>
      <c r="U146" s="30"/>
      <c r="V146" s="30"/>
      <c r="W146" s="30"/>
      <c r="X146" s="30"/>
      <c r="Y146" s="30"/>
      <c r="Z146" s="30"/>
      <c r="AA146" s="30"/>
      <c r="AB146" s="30"/>
      <c r="AC146" s="30"/>
      <c r="AD146" s="30"/>
      <c r="AE146" s="30"/>
      <c r="AF146" s="177"/>
      <c r="AG146" s="177"/>
      <c r="AH146" s="177"/>
      <c r="AI146" s="177"/>
      <c r="AJ146" s="177"/>
      <c r="AK146" s="177"/>
      <c r="AL146" s="177"/>
      <c r="AM146" s="177"/>
      <c r="AN146" s="177"/>
      <c r="AO146" s="177"/>
      <c r="AP146" s="166"/>
      <c r="AQ146" s="166"/>
      <c r="AR146" s="3"/>
      <c r="AS146" s="3"/>
      <c r="AT146" s="3"/>
      <c r="AU146" s="3"/>
      <c r="AV146" s="3"/>
      <c r="AW146" s="3"/>
      <c r="AX146" s="3"/>
      <c r="AY146" s="3"/>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row>
    <row r="147" spans="1:247" ht="78" hidden="1" customHeight="1" x14ac:dyDescent="0.3">
      <c r="A147" s="23">
        <v>35</v>
      </c>
      <c r="B147" s="24" t="s">
        <v>284</v>
      </c>
      <c r="C147" s="25" t="s">
        <v>245</v>
      </c>
      <c r="D147" s="25">
        <v>2021</v>
      </c>
      <c r="E147" s="25">
        <v>2022</v>
      </c>
      <c r="F147" s="25"/>
      <c r="G147" s="40">
        <f t="shared" si="39"/>
        <v>8990</v>
      </c>
      <c r="H147" s="36"/>
      <c r="I147" s="28"/>
      <c r="J147" s="36">
        <v>8990</v>
      </c>
      <c r="K147" s="28"/>
      <c r="L147" s="28"/>
      <c r="M147" s="36"/>
      <c r="N147" s="37"/>
      <c r="O147" s="37"/>
      <c r="P147" s="28"/>
      <c r="Q147" s="37"/>
      <c r="R147" s="37"/>
      <c r="S147" s="37"/>
      <c r="T147" s="37"/>
      <c r="U147" s="30"/>
      <c r="V147" s="30"/>
      <c r="W147" s="30"/>
      <c r="X147" s="30"/>
      <c r="Y147" s="30"/>
      <c r="Z147" s="30"/>
      <c r="AA147" s="30"/>
      <c r="AB147" s="30"/>
      <c r="AC147" s="30"/>
      <c r="AD147" s="30"/>
      <c r="AE147" s="30"/>
      <c r="AF147" s="177"/>
      <c r="AG147" s="177"/>
      <c r="AH147" s="177"/>
      <c r="AI147" s="177"/>
      <c r="AJ147" s="177"/>
      <c r="AK147" s="177"/>
      <c r="AL147" s="177"/>
      <c r="AM147" s="177"/>
      <c r="AN147" s="177"/>
      <c r="AO147" s="177"/>
      <c r="AP147" s="166"/>
      <c r="AQ147" s="166"/>
      <c r="AR147" s="3"/>
      <c r="AS147" s="3"/>
      <c r="AT147" s="3"/>
      <c r="AU147" s="3"/>
      <c r="AV147" s="3"/>
      <c r="AW147" s="3"/>
      <c r="AX147" s="3"/>
      <c r="AY147" s="3"/>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row>
    <row r="148" spans="1:247" ht="78" hidden="1" customHeight="1" x14ac:dyDescent="0.3">
      <c r="A148" s="23">
        <v>36</v>
      </c>
      <c r="B148" s="24" t="s">
        <v>285</v>
      </c>
      <c r="C148" s="25" t="s">
        <v>245</v>
      </c>
      <c r="D148" s="25">
        <v>2021</v>
      </c>
      <c r="E148" s="25">
        <v>2022</v>
      </c>
      <c r="F148" s="25"/>
      <c r="G148" s="40">
        <f t="shared" si="39"/>
        <v>8239</v>
      </c>
      <c r="H148" s="36"/>
      <c r="I148" s="28"/>
      <c r="J148" s="36">
        <v>8239</v>
      </c>
      <c r="K148" s="28"/>
      <c r="L148" s="28"/>
      <c r="M148" s="36"/>
      <c r="N148" s="37"/>
      <c r="O148" s="37"/>
      <c r="P148" s="28"/>
      <c r="Q148" s="37"/>
      <c r="R148" s="37"/>
      <c r="S148" s="37"/>
      <c r="T148" s="37"/>
      <c r="U148" s="30"/>
      <c r="V148" s="30"/>
      <c r="W148" s="30"/>
      <c r="X148" s="30"/>
      <c r="Y148" s="30"/>
      <c r="Z148" s="30"/>
      <c r="AA148" s="30"/>
      <c r="AB148" s="30"/>
      <c r="AC148" s="30"/>
      <c r="AD148" s="30"/>
      <c r="AE148" s="30"/>
      <c r="AF148" s="177"/>
      <c r="AG148" s="177"/>
      <c r="AH148" s="177"/>
      <c r="AI148" s="177"/>
      <c r="AJ148" s="177"/>
      <c r="AK148" s="177"/>
      <c r="AL148" s="177"/>
      <c r="AM148" s="177"/>
      <c r="AN148" s="177"/>
      <c r="AO148" s="177"/>
      <c r="AP148" s="166"/>
      <c r="AQ148" s="166"/>
      <c r="AR148" s="3"/>
      <c r="AS148" s="3"/>
      <c r="AT148" s="3"/>
      <c r="AU148" s="3"/>
      <c r="AV148" s="3"/>
      <c r="AW148" s="3"/>
      <c r="AX148" s="3"/>
      <c r="AY148" s="3"/>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row>
    <row r="149" spans="1:247" ht="78" hidden="1" customHeight="1" x14ac:dyDescent="0.3">
      <c r="A149" s="23">
        <v>37</v>
      </c>
      <c r="B149" s="24" t="s">
        <v>286</v>
      </c>
      <c r="C149" s="25" t="s">
        <v>245</v>
      </c>
      <c r="D149" s="25">
        <v>2021</v>
      </c>
      <c r="E149" s="25">
        <v>2022</v>
      </c>
      <c r="F149" s="25"/>
      <c r="G149" s="40">
        <f t="shared" si="39"/>
        <v>2118</v>
      </c>
      <c r="H149" s="36"/>
      <c r="I149" s="28"/>
      <c r="J149" s="36">
        <v>2118</v>
      </c>
      <c r="K149" s="28"/>
      <c r="L149" s="28"/>
      <c r="M149" s="36"/>
      <c r="N149" s="37"/>
      <c r="O149" s="37"/>
      <c r="P149" s="28"/>
      <c r="Q149" s="37"/>
      <c r="R149" s="37"/>
      <c r="S149" s="37"/>
      <c r="T149" s="37"/>
      <c r="U149" s="30"/>
      <c r="V149" s="30"/>
      <c r="W149" s="30"/>
      <c r="X149" s="30"/>
      <c r="Y149" s="30"/>
      <c r="Z149" s="30"/>
      <c r="AA149" s="30"/>
      <c r="AB149" s="30"/>
      <c r="AC149" s="30"/>
      <c r="AD149" s="30"/>
      <c r="AE149" s="30"/>
      <c r="AF149" s="177"/>
      <c r="AG149" s="177"/>
      <c r="AH149" s="177"/>
      <c r="AI149" s="177"/>
      <c r="AJ149" s="177"/>
      <c r="AK149" s="177"/>
      <c r="AL149" s="177"/>
      <c r="AM149" s="177"/>
      <c r="AN149" s="177"/>
      <c r="AO149" s="177"/>
      <c r="AP149" s="166"/>
      <c r="AQ149" s="166"/>
      <c r="AR149" s="3"/>
      <c r="AS149" s="3"/>
      <c r="AT149" s="3"/>
      <c r="AU149" s="3"/>
      <c r="AV149" s="3"/>
      <c r="AW149" s="3"/>
      <c r="AX149" s="3"/>
      <c r="AY149" s="3"/>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row>
    <row r="150" spans="1:247" ht="78" hidden="1" customHeight="1" x14ac:dyDescent="0.3">
      <c r="A150" s="23">
        <v>38</v>
      </c>
      <c r="B150" s="24" t="s">
        <v>287</v>
      </c>
      <c r="C150" s="25" t="s">
        <v>245</v>
      </c>
      <c r="D150" s="25">
        <v>2021</v>
      </c>
      <c r="E150" s="25">
        <v>2022</v>
      </c>
      <c r="F150" s="25"/>
      <c r="G150" s="40">
        <f t="shared" si="39"/>
        <v>2088</v>
      </c>
      <c r="H150" s="36"/>
      <c r="I150" s="28"/>
      <c r="J150" s="36">
        <v>2088</v>
      </c>
      <c r="K150" s="28"/>
      <c r="L150" s="28"/>
      <c r="M150" s="36"/>
      <c r="N150" s="37"/>
      <c r="O150" s="37"/>
      <c r="P150" s="28"/>
      <c r="Q150" s="37"/>
      <c r="R150" s="37"/>
      <c r="S150" s="37"/>
      <c r="T150" s="37"/>
      <c r="U150" s="30"/>
      <c r="V150" s="30"/>
      <c r="W150" s="30"/>
      <c r="X150" s="30"/>
      <c r="Y150" s="30"/>
      <c r="Z150" s="30"/>
      <c r="AA150" s="30"/>
      <c r="AB150" s="30"/>
      <c r="AC150" s="30"/>
      <c r="AD150" s="30"/>
      <c r="AE150" s="30"/>
      <c r="AF150" s="177"/>
      <c r="AG150" s="177"/>
      <c r="AH150" s="177"/>
      <c r="AI150" s="177"/>
      <c r="AJ150" s="177"/>
      <c r="AK150" s="177"/>
      <c r="AL150" s="177"/>
      <c r="AM150" s="177"/>
      <c r="AN150" s="177"/>
      <c r="AO150" s="177"/>
      <c r="AP150" s="166"/>
      <c r="AQ150" s="166"/>
      <c r="AR150" s="3"/>
      <c r="AS150" s="3"/>
      <c r="AT150" s="3"/>
      <c r="AU150" s="3"/>
      <c r="AV150" s="3"/>
      <c r="AW150" s="3"/>
      <c r="AX150" s="3"/>
      <c r="AY150" s="3"/>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row>
    <row r="151" spans="1:247" ht="78" hidden="1" customHeight="1" x14ac:dyDescent="0.3">
      <c r="A151" s="23">
        <v>39</v>
      </c>
      <c r="B151" s="24" t="s">
        <v>288</v>
      </c>
      <c r="C151" s="25" t="s">
        <v>245</v>
      </c>
      <c r="D151" s="25">
        <v>2021</v>
      </c>
      <c r="E151" s="25">
        <v>2022</v>
      </c>
      <c r="F151" s="25"/>
      <c r="G151" s="40">
        <f t="shared" si="39"/>
        <v>923</v>
      </c>
      <c r="H151" s="36"/>
      <c r="I151" s="28"/>
      <c r="J151" s="36">
        <v>923</v>
      </c>
      <c r="K151" s="28"/>
      <c r="L151" s="28"/>
      <c r="M151" s="36"/>
      <c r="N151" s="37"/>
      <c r="O151" s="37"/>
      <c r="P151" s="28"/>
      <c r="Q151" s="37"/>
      <c r="R151" s="37"/>
      <c r="S151" s="37"/>
      <c r="T151" s="37"/>
      <c r="U151" s="30"/>
      <c r="V151" s="30"/>
      <c r="W151" s="30"/>
      <c r="X151" s="30"/>
      <c r="Y151" s="30"/>
      <c r="Z151" s="30"/>
      <c r="AA151" s="30"/>
      <c r="AB151" s="30"/>
      <c r="AC151" s="30"/>
      <c r="AD151" s="30"/>
      <c r="AE151" s="30"/>
      <c r="AF151" s="177"/>
      <c r="AG151" s="177"/>
      <c r="AH151" s="177"/>
      <c r="AI151" s="177"/>
      <c r="AJ151" s="177"/>
      <c r="AK151" s="177"/>
      <c r="AL151" s="177"/>
      <c r="AM151" s="177"/>
      <c r="AN151" s="177"/>
      <c r="AO151" s="177"/>
      <c r="AP151" s="166"/>
      <c r="AQ151" s="166"/>
      <c r="AR151" s="3"/>
      <c r="AS151" s="3"/>
      <c r="AT151" s="3"/>
      <c r="AU151" s="3"/>
      <c r="AV151" s="3"/>
      <c r="AW151" s="3"/>
      <c r="AX151" s="3"/>
      <c r="AY151" s="3"/>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row>
    <row r="152" spans="1:247" ht="78" hidden="1" customHeight="1" x14ac:dyDescent="0.3">
      <c r="A152" s="23">
        <v>40</v>
      </c>
      <c r="B152" s="24" t="s">
        <v>289</v>
      </c>
      <c r="C152" s="25" t="s">
        <v>245</v>
      </c>
      <c r="D152" s="25">
        <v>2021</v>
      </c>
      <c r="E152" s="25">
        <v>2022</v>
      </c>
      <c r="F152" s="25"/>
      <c r="G152" s="40">
        <f t="shared" si="39"/>
        <v>1035</v>
      </c>
      <c r="H152" s="36"/>
      <c r="I152" s="28"/>
      <c r="J152" s="36">
        <v>1035</v>
      </c>
      <c r="K152" s="28"/>
      <c r="L152" s="28"/>
      <c r="M152" s="36"/>
      <c r="N152" s="37"/>
      <c r="O152" s="37"/>
      <c r="P152" s="28"/>
      <c r="Q152" s="37"/>
      <c r="R152" s="37"/>
      <c r="S152" s="37"/>
      <c r="T152" s="37"/>
      <c r="U152" s="30"/>
      <c r="V152" s="30"/>
      <c r="W152" s="30"/>
      <c r="X152" s="30"/>
      <c r="Y152" s="30"/>
      <c r="Z152" s="30"/>
      <c r="AA152" s="30"/>
      <c r="AB152" s="30"/>
      <c r="AC152" s="30"/>
      <c r="AD152" s="30"/>
      <c r="AE152" s="30"/>
      <c r="AF152" s="177"/>
      <c r="AG152" s="177"/>
      <c r="AH152" s="177"/>
      <c r="AI152" s="177"/>
      <c r="AJ152" s="177"/>
      <c r="AK152" s="177"/>
      <c r="AL152" s="177"/>
      <c r="AM152" s="177"/>
      <c r="AN152" s="177"/>
      <c r="AO152" s="177"/>
      <c r="AP152" s="166"/>
      <c r="AQ152" s="166"/>
      <c r="AR152" s="3"/>
      <c r="AS152" s="3"/>
      <c r="AT152" s="3"/>
      <c r="AU152" s="3"/>
      <c r="AV152" s="3"/>
      <c r="AW152" s="3"/>
      <c r="AX152" s="3"/>
      <c r="AY152" s="3"/>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row>
    <row r="153" spans="1:247" ht="78" hidden="1" customHeight="1" x14ac:dyDescent="0.3">
      <c r="A153" s="23">
        <v>41</v>
      </c>
      <c r="B153" s="24" t="s">
        <v>290</v>
      </c>
      <c r="C153" s="25" t="s">
        <v>245</v>
      </c>
      <c r="D153" s="25">
        <v>2021</v>
      </c>
      <c r="E153" s="25">
        <v>2022</v>
      </c>
      <c r="F153" s="25"/>
      <c r="G153" s="40">
        <f t="shared" si="39"/>
        <v>1166</v>
      </c>
      <c r="H153" s="36"/>
      <c r="I153" s="28"/>
      <c r="J153" s="36">
        <v>1166</v>
      </c>
      <c r="K153" s="28"/>
      <c r="L153" s="28"/>
      <c r="M153" s="36"/>
      <c r="N153" s="37"/>
      <c r="O153" s="37"/>
      <c r="P153" s="28"/>
      <c r="Q153" s="37"/>
      <c r="R153" s="37"/>
      <c r="S153" s="37"/>
      <c r="T153" s="37"/>
      <c r="U153" s="30"/>
      <c r="V153" s="30"/>
      <c r="W153" s="30"/>
      <c r="X153" s="30"/>
      <c r="Y153" s="30"/>
      <c r="Z153" s="30"/>
      <c r="AA153" s="30"/>
      <c r="AB153" s="30"/>
      <c r="AC153" s="30"/>
      <c r="AD153" s="30"/>
      <c r="AE153" s="30"/>
      <c r="AF153" s="177"/>
      <c r="AG153" s="177"/>
      <c r="AH153" s="177"/>
      <c r="AI153" s="177"/>
      <c r="AJ153" s="177"/>
      <c r="AK153" s="177"/>
      <c r="AL153" s="177"/>
      <c r="AM153" s="177"/>
      <c r="AN153" s="177"/>
      <c r="AO153" s="177"/>
      <c r="AP153" s="166"/>
      <c r="AQ153" s="166"/>
      <c r="AR153" s="3"/>
      <c r="AS153" s="3"/>
      <c r="AT153" s="3"/>
      <c r="AU153" s="3"/>
      <c r="AV153" s="3"/>
      <c r="AW153" s="3"/>
      <c r="AX153" s="3"/>
      <c r="AY153" s="3"/>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row>
    <row r="154" spans="1:247" ht="78" hidden="1" customHeight="1" x14ac:dyDescent="0.3">
      <c r="A154" s="23">
        <v>42</v>
      </c>
      <c r="B154" s="24" t="s">
        <v>291</v>
      </c>
      <c r="C154" s="25" t="s">
        <v>245</v>
      </c>
      <c r="D154" s="25">
        <v>2021</v>
      </c>
      <c r="E154" s="25">
        <v>2022</v>
      </c>
      <c r="F154" s="25"/>
      <c r="G154" s="40">
        <f t="shared" si="39"/>
        <v>1194</v>
      </c>
      <c r="H154" s="36"/>
      <c r="I154" s="28"/>
      <c r="J154" s="36">
        <v>1194</v>
      </c>
      <c r="K154" s="28"/>
      <c r="L154" s="28"/>
      <c r="M154" s="36"/>
      <c r="N154" s="37"/>
      <c r="O154" s="37"/>
      <c r="P154" s="28"/>
      <c r="Q154" s="37"/>
      <c r="R154" s="37"/>
      <c r="S154" s="37"/>
      <c r="T154" s="37"/>
      <c r="U154" s="30"/>
      <c r="V154" s="30"/>
      <c r="W154" s="30"/>
      <c r="X154" s="30"/>
      <c r="Y154" s="30"/>
      <c r="Z154" s="30"/>
      <c r="AA154" s="30"/>
      <c r="AB154" s="30"/>
      <c r="AC154" s="30"/>
      <c r="AD154" s="30"/>
      <c r="AE154" s="30"/>
      <c r="AF154" s="177"/>
      <c r="AG154" s="177"/>
      <c r="AH154" s="177"/>
      <c r="AI154" s="177"/>
      <c r="AJ154" s="177"/>
      <c r="AK154" s="177"/>
      <c r="AL154" s="177"/>
      <c r="AM154" s="177"/>
      <c r="AN154" s="177"/>
      <c r="AO154" s="177"/>
      <c r="AP154" s="166"/>
      <c r="AQ154" s="166"/>
      <c r="AR154" s="3"/>
      <c r="AS154" s="3"/>
      <c r="AT154" s="3"/>
      <c r="AU154" s="3"/>
      <c r="AV154" s="3"/>
      <c r="AW154" s="3"/>
      <c r="AX154" s="3"/>
      <c r="AY154" s="3"/>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row>
    <row r="155" spans="1:247" ht="78" hidden="1" customHeight="1" x14ac:dyDescent="0.3">
      <c r="A155" s="23">
        <v>43</v>
      </c>
      <c r="B155" s="24" t="s">
        <v>292</v>
      </c>
      <c r="C155" s="25" t="s">
        <v>245</v>
      </c>
      <c r="D155" s="25">
        <v>2021</v>
      </c>
      <c r="E155" s="25">
        <v>2022</v>
      </c>
      <c r="F155" s="25"/>
      <c r="G155" s="40">
        <f t="shared" si="39"/>
        <v>435</v>
      </c>
      <c r="H155" s="36"/>
      <c r="I155" s="28"/>
      <c r="J155" s="36">
        <v>435</v>
      </c>
      <c r="K155" s="28"/>
      <c r="L155" s="28"/>
      <c r="M155" s="36"/>
      <c r="N155" s="37"/>
      <c r="O155" s="37"/>
      <c r="P155" s="28"/>
      <c r="Q155" s="37"/>
      <c r="R155" s="37"/>
      <c r="S155" s="37"/>
      <c r="T155" s="37"/>
      <c r="U155" s="30"/>
      <c r="V155" s="30"/>
      <c r="W155" s="30"/>
      <c r="X155" s="30"/>
      <c r="Y155" s="30"/>
      <c r="Z155" s="30"/>
      <c r="AA155" s="30"/>
      <c r="AB155" s="30"/>
      <c r="AC155" s="30"/>
      <c r="AD155" s="30"/>
      <c r="AE155" s="30"/>
      <c r="AF155" s="177"/>
      <c r="AG155" s="177"/>
      <c r="AH155" s="177"/>
      <c r="AI155" s="177"/>
      <c r="AJ155" s="177"/>
      <c r="AK155" s="177"/>
      <c r="AL155" s="177"/>
      <c r="AM155" s="177"/>
      <c r="AN155" s="177"/>
      <c r="AO155" s="177"/>
      <c r="AP155" s="166"/>
      <c r="AQ155" s="166"/>
      <c r="AR155" s="3"/>
      <c r="AS155" s="3"/>
      <c r="AT155" s="3"/>
      <c r="AU155" s="3"/>
      <c r="AV155" s="3"/>
      <c r="AW155" s="3"/>
      <c r="AX155" s="3"/>
      <c r="AY155" s="3"/>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row>
    <row r="156" spans="1:247" ht="78" hidden="1" customHeight="1" x14ac:dyDescent="0.3">
      <c r="A156" s="23">
        <v>44</v>
      </c>
      <c r="B156" s="24" t="s">
        <v>293</v>
      </c>
      <c r="C156" s="25" t="s">
        <v>245</v>
      </c>
      <c r="D156" s="25">
        <v>2021</v>
      </c>
      <c r="E156" s="25">
        <v>2022</v>
      </c>
      <c r="F156" s="25"/>
      <c r="G156" s="40">
        <f t="shared" si="39"/>
        <v>1162</v>
      </c>
      <c r="H156" s="36"/>
      <c r="I156" s="28"/>
      <c r="J156" s="36">
        <v>1162</v>
      </c>
      <c r="K156" s="28"/>
      <c r="L156" s="28"/>
      <c r="M156" s="36"/>
      <c r="N156" s="37"/>
      <c r="O156" s="37"/>
      <c r="P156" s="28"/>
      <c r="Q156" s="37"/>
      <c r="R156" s="37"/>
      <c r="S156" s="37"/>
      <c r="T156" s="37"/>
      <c r="U156" s="30"/>
      <c r="V156" s="30"/>
      <c r="W156" s="30"/>
      <c r="X156" s="30"/>
      <c r="Y156" s="30"/>
      <c r="Z156" s="30"/>
      <c r="AA156" s="30"/>
      <c r="AB156" s="30"/>
      <c r="AC156" s="30"/>
      <c r="AD156" s="30"/>
      <c r="AE156" s="30"/>
      <c r="AF156" s="177"/>
      <c r="AG156" s="177"/>
      <c r="AH156" s="177"/>
      <c r="AI156" s="177"/>
      <c r="AJ156" s="177"/>
      <c r="AK156" s="177"/>
      <c r="AL156" s="177"/>
      <c r="AM156" s="177"/>
      <c r="AN156" s="177"/>
      <c r="AO156" s="177"/>
      <c r="AP156" s="166"/>
      <c r="AQ156" s="166"/>
      <c r="AR156" s="3"/>
      <c r="AS156" s="3"/>
      <c r="AT156" s="3"/>
      <c r="AU156" s="3"/>
      <c r="AV156" s="3"/>
      <c r="AW156" s="3"/>
      <c r="AX156" s="3"/>
      <c r="AY156" s="3"/>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row>
    <row r="157" spans="1:247" ht="78" hidden="1" customHeight="1" x14ac:dyDescent="0.3">
      <c r="A157" s="23">
        <v>45</v>
      </c>
      <c r="B157" s="24" t="s">
        <v>294</v>
      </c>
      <c r="C157" s="25" t="s">
        <v>245</v>
      </c>
      <c r="D157" s="25">
        <v>2021</v>
      </c>
      <c r="E157" s="25">
        <v>2022</v>
      </c>
      <c r="F157" s="25"/>
      <c r="G157" s="40">
        <f t="shared" si="39"/>
        <v>1191</v>
      </c>
      <c r="H157" s="36"/>
      <c r="I157" s="28"/>
      <c r="J157" s="36">
        <v>1191</v>
      </c>
      <c r="K157" s="28"/>
      <c r="L157" s="28"/>
      <c r="M157" s="36"/>
      <c r="N157" s="37"/>
      <c r="O157" s="37"/>
      <c r="P157" s="28"/>
      <c r="Q157" s="37"/>
      <c r="R157" s="37"/>
      <c r="S157" s="37"/>
      <c r="T157" s="37"/>
      <c r="U157" s="30"/>
      <c r="V157" s="30"/>
      <c r="W157" s="30"/>
      <c r="X157" s="30"/>
      <c r="Y157" s="30"/>
      <c r="Z157" s="30"/>
      <c r="AA157" s="30"/>
      <c r="AB157" s="30"/>
      <c r="AC157" s="30"/>
      <c r="AD157" s="30"/>
      <c r="AE157" s="30"/>
      <c r="AF157" s="177"/>
      <c r="AG157" s="177"/>
      <c r="AH157" s="177"/>
      <c r="AI157" s="177"/>
      <c r="AJ157" s="177"/>
      <c r="AK157" s="177"/>
      <c r="AL157" s="177"/>
      <c r="AM157" s="177"/>
      <c r="AN157" s="177"/>
      <c r="AO157" s="177"/>
      <c r="AP157" s="166"/>
      <c r="AQ157" s="166"/>
      <c r="AR157" s="3"/>
      <c r="AS157" s="3"/>
      <c r="AT157" s="3"/>
      <c r="AU157" s="3"/>
      <c r="AV157" s="3"/>
      <c r="AW157" s="3"/>
      <c r="AX157" s="3"/>
      <c r="AY157" s="3"/>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row>
    <row r="158" spans="1:247" ht="78" hidden="1" customHeight="1" x14ac:dyDescent="0.3">
      <c r="A158" s="23">
        <v>46</v>
      </c>
      <c r="B158" s="24" t="s">
        <v>295</v>
      </c>
      <c r="C158" s="25" t="s">
        <v>245</v>
      </c>
      <c r="D158" s="25">
        <v>2021</v>
      </c>
      <c r="E158" s="25">
        <v>2022</v>
      </c>
      <c r="F158" s="25"/>
      <c r="G158" s="40">
        <f t="shared" si="39"/>
        <v>1184</v>
      </c>
      <c r="H158" s="36"/>
      <c r="I158" s="28"/>
      <c r="J158" s="36">
        <v>1184</v>
      </c>
      <c r="K158" s="28"/>
      <c r="L158" s="28"/>
      <c r="M158" s="36"/>
      <c r="N158" s="37"/>
      <c r="O158" s="37"/>
      <c r="P158" s="28"/>
      <c r="Q158" s="37"/>
      <c r="R158" s="37"/>
      <c r="S158" s="37"/>
      <c r="T158" s="37"/>
      <c r="U158" s="30"/>
      <c r="V158" s="30"/>
      <c r="W158" s="30"/>
      <c r="X158" s="30"/>
      <c r="Y158" s="30"/>
      <c r="Z158" s="30"/>
      <c r="AA158" s="30"/>
      <c r="AB158" s="30"/>
      <c r="AC158" s="30"/>
      <c r="AD158" s="30"/>
      <c r="AE158" s="30"/>
      <c r="AF158" s="177"/>
      <c r="AG158" s="177"/>
      <c r="AH158" s="177"/>
      <c r="AI158" s="177"/>
      <c r="AJ158" s="177"/>
      <c r="AK158" s="177"/>
      <c r="AL158" s="177"/>
      <c r="AM158" s="177"/>
      <c r="AN158" s="177"/>
      <c r="AO158" s="177"/>
      <c r="AP158" s="166"/>
      <c r="AQ158" s="166"/>
      <c r="AR158" s="3"/>
      <c r="AS158" s="3"/>
      <c r="AT158" s="3"/>
      <c r="AU158" s="3"/>
      <c r="AV158" s="3"/>
      <c r="AW158" s="3"/>
      <c r="AX158" s="3"/>
      <c r="AY158" s="3"/>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row>
    <row r="159" spans="1:247" ht="78" hidden="1" customHeight="1" x14ac:dyDescent="0.3">
      <c r="A159" s="23">
        <v>47</v>
      </c>
      <c r="B159" s="24" t="s">
        <v>296</v>
      </c>
      <c r="C159" s="25" t="s">
        <v>245</v>
      </c>
      <c r="D159" s="25">
        <v>2021</v>
      </c>
      <c r="E159" s="25">
        <v>2022</v>
      </c>
      <c r="F159" s="25"/>
      <c r="G159" s="40">
        <f t="shared" si="39"/>
        <v>4339</v>
      </c>
      <c r="H159" s="36"/>
      <c r="I159" s="28"/>
      <c r="J159" s="36">
        <v>4339</v>
      </c>
      <c r="K159" s="28"/>
      <c r="L159" s="28"/>
      <c r="M159" s="36"/>
      <c r="N159" s="37"/>
      <c r="O159" s="37"/>
      <c r="P159" s="28"/>
      <c r="Q159" s="37"/>
      <c r="R159" s="37"/>
      <c r="S159" s="37"/>
      <c r="T159" s="37"/>
      <c r="U159" s="30"/>
      <c r="V159" s="30"/>
      <c r="W159" s="30"/>
      <c r="X159" s="30"/>
      <c r="Y159" s="30"/>
      <c r="Z159" s="30"/>
      <c r="AA159" s="30"/>
      <c r="AB159" s="30"/>
      <c r="AC159" s="30"/>
      <c r="AD159" s="30"/>
      <c r="AE159" s="30"/>
      <c r="AF159" s="177"/>
      <c r="AG159" s="177"/>
      <c r="AH159" s="177"/>
      <c r="AI159" s="177"/>
      <c r="AJ159" s="177"/>
      <c r="AK159" s="177"/>
      <c r="AL159" s="177"/>
      <c r="AM159" s="177"/>
      <c r="AN159" s="177"/>
      <c r="AO159" s="177"/>
      <c r="AP159" s="166"/>
      <c r="AQ159" s="166"/>
      <c r="AR159" s="3"/>
      <c r="AS159" s="3"/>
      <c r="AT159" s="3"/>
      <c r="AU159" s="3"/>
      <c r="AV159" s="3"/>
      <c r="AW159" s="3"/>
      <c r="AX159" s="3"/>
      <c r="AY159" s="3"/>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row>
    <row r="160" spans="1:247" ht="78" hidden="1" customHeight="1" x14ac:dyDescent="0.3">
      <c r="A160" s="23">
        <v>48</v>
      </c>
      <c r="B160" s="24" t="s">
        <v>297</v>
      </c>
      <c r="C160" s="25" t="s">
        <v>245</v>
      </c>
      <c r="D160" s="25">
        <v>2021</v>
      </c>
      <c r="E160" s="25">
        <v>2022</v>
      </c>
      <c r="F160" s="25"/>
      <c r="G160" s="40">
        <f t="shared" si="39"/>
        <v>1185</v>
      </c>
      <c r="H160" s="36"/>
      <c r="I160" s="28"/>
      <c r="J160" s="36">
        <v>1185</v>
      </c>
      <c r="K160" s="28"/>
      <c r="L160" s="28"/>
      <c r="M160" s="36"/>
      <c r="N160" s="37"/>
      <c r="O160" s="37"/>
      <c r="P160" s="28"/>
      <c r="Q160" s="37"/>
      <c r="R160" s="37"/>
      <c r="S160" s="37"/>
      <c r="T160" s="37"/>
      <c r="U160" s="30"/>
      <c r="V160" s="30"/>
      <c r="W160" s="30"/>
      <c r="X160" s="30"/>
      <c r="Y160" s="30"/>
      <c r="Z160" s="30"/>
      <c r="AA160" s="30"/>
      <c r="AB160" s="30"/>
      <c r="AC160" s="30"/>
      <c r="AD160" s="30"/>
      <c r="AE160" s="30"/>
      <c r="AF160" s="177"/>
      <c r="AG160" s="177"/>
      <c r="AH160" s="177"/>
      <c r="AI160" s="177"/>
      <c r="AJ160" s="177"/>
      <c r="AK160" s="177"/>
      <c r="AL160" s="177"/>
      <c r="AM160" s="177"/>
      <c r="AN160" s="177"/>
      <c r="AO160" s="177"/>
      <c r="AP160" s="166"/>
      <c r="AQ160" s="166"/>
      <c r="AR160" s="3"/>
      <c r="AS160" s="3"/>
      <c r="AT160" s="3"/>
      <c r="AU160" s="3"/>
      <c r="AV160" s="3"/>
      <c r="AW160" s="3"/>
      <c r="AX160" s="3"/>
      <c r="AY160" s="3"/>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row>
    <row r="161" spans="1:247" ht="78" hidden="1" customHeight="1" x14ac:dyDescent="0.3">
      <c r="A161" s="23">
        <v>49</v>
      </c>
      <c r="B161" s="24" t="s">
        <v>298</v>
      </c>
      <c r="C161" s="25" t="s">
        <v>245</v>
      </c>
      <c r="D161" s="25">
        <v>2022</v>
      </c>
      <c r="E161" s="25">
        <v>2022</v>
      </c>
      <c r="F161" s="25"/>
      <c r="G161" s="40">
        <f t="shared" si="39"/>
        <v>1200</v>
      </c>
      <c r="H161" s="36"/>
      <c r="I161" s="28"/>
      <c r="J161" s="36">
        <v>1200</v>
      </c>
      <c r="K161" s="28"/>
      <c r="L161" s="28"/>
      <c r="M161" s="36"/>
      <c r="N161" s="37"/>
      <c r="O161" s="37"/>
      <c r="P161" s="28"/>
      <c r="Q161" s="37"/>
      <c r="R161" s="37"/>
      <c r="S161" s="37"/>
      <c r="T161" s="37"/>
      <c r="U161" s="30"/>
      <c r="V161" s="30"/>
      <c r="W161" s="30"/>
      <c r="X161" s="30"/>
      <c r="Y161" s="30"/>
      <c r="Z161" s="30"/>
      <c r="AA161" s="30"/>
      <c r="AB161" s="30"/>
      <c r="AC161" s="30"/>
      <c r="AD161" s="30"/>
      <c r="AE161" s="30"/>
      <c r="AF161" s="177"/>
      <c r="AG161" s="177"/>
      <c r="AH161" s="177"/>
      <c r="AI161" s="177"/>
      <c r="AJ161" s="177"/>
      <c r="AK161" s="177"/>
      <c r="AL161" s="177"/>
      <c r="AM161" s="177"/>
      <c r="AN161" s="177"/>
      <c r="AO161" s="177"/>
      <c r="AP161" s="166"/>
      <c r="AQ161" s="166"/>
      <c r="AR161" s="3"/>
      <c r="AS161" s="3"/>
      <c r="AT161" s="3"/>
      <c r="AU161" s="3"/>
      <c r="AV161" s="3"/>
      <c r="AW161" s="3"/>
      <c r="AX161" s="3"/>
      <c r="AY161" s="3"/>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row>
    <row r="162" spans="1:247" ht="78" hidden="1" customHeight="1" x14ac:dyDescent="0.3">
      <c r="A162" s="23">
        <v>50</v>
      </c>
      <c r="B162" s="24" t="s">
        <v>299</v>
      </c>
      <c r="C162" s="25" t="s">
        <v>245</v>
      </c>
      <c r="D162" s="25">
        <v>2022</v>
      </c>
      <c r="E162" s="25">
        <v>2022</v>
      </c>
      <c r="F162" s="25"/>
      <c r="G162" s="40">
        <f t="shared" si="39"/>
        <v>7992</v>
      </c>
      <c r="H162" s="36"/>
      <c r="I162" s="28"/>
      <c r="J162" s="36">
        <v>7992</v>
      </c>
      <c r="K162" s="28"/>
      <c r="L162" s="28"/>
      <c r="M162" s="36"/>
      <c r="N162" s="37"/>
      <c r="O162" s="37"/>
      <c r="P162" s="28"/>
      <c r="Q162" s="37"/>
      <c r="R162" s="37"/>
      <c r="S162" s="37"/>
      <c r="T162" s="37"/>
      <c r="U162" s="30"/>
      <c r="V162" s="30"/>
      <c r="W162" s="30"/>
      <c r="X162" s="30"/>
      <c r="Y162" s="30"/>
      <c r="Z162" s="30"/>
      <c r="AA162" s="30"/>
      <c r="AB162" s="30"/>
      <c r="AC162" s="30"/>
      <c r="AD162" s="30"/>
      <c r="AE162" s="30"/>
      <c r="AF162" s="177"/>
      <c r="AG162" s="177"/>
      <c r="AH162" s="177"/>
      <c r="AI162" s="177"/>
      <c r="AJ162" s="177"/>
      <c r="AK162" s="177"/>
      <c r="AL162" s="177"/>
      <c r="AM162" s="177"/>
      <c r="AN162" s="177"/>
      <c r="AO162" s="177"/>
      <c r="AP162" s="166"/>
      <c r="AQ162" s="166"/>
      <c r="AR162" s="3"/>
      <c r="AS162" s="3"/>
      <c r="AT162" s="3"/>
      <c r="AU162" s="3"/>
      <c r="AV162" s="3"/>
      <c r="AW162" s="3"/>
      <c r="AX162" s="3"/>
      <c r="AY162" s="3"/>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row>
    <row r="163" spans="1:247" ht="78" hidden="1" customHeight="1" x14ac:dyDescent="0.3">
      <c r="A163" s="23">
        <v>51</v>
      </c>
      <c r="B163" s="24" t="s">
        <v>300</v>
      </c>
      <c r="C163" s="25" t="s">
        <v>245</v>
      </c>
      <c r="D163" s="25">
        <v>2021</v>
      </c>
      <c r="E163" s="25">
        <v>2022</v>
      </c>
      <c r="F163" s="25"/>
      <c r="G163" s="40">
        <f t="shared" si="39"/>
        <v>14993</v>
      </c>
      <c r="H163" s="36"/>
      <c r="I163" s="28"/>
      <c r="J163" s="36">
        <v>14993</v>
      </c>
      <c r="K163" s="28"/>
      <c r="L163" s="28"/>
      <c r="M163" s="36"/>
      <c r="N163" s="37"/>
      <c r="O163" s="37"/>
      <c r="P163" s="28"/>
      <c r="Q163" s="37"/>
      <c r="R163" s="37"/>
      <c r="S163" s="37"/>
      <c r="T163" s="37"/>
      <c r="U163" s="30"/>
      <c r="V163" s="30"/>
      <c r="W163" s="30"/>
      <c r="X163" s="30"/>
      <c r="Y163" s="30"/>
      <c r="Z163" s="30"/>
      <c r="AA163" s="30"/>
      <c r="AB163" s="30"/>
      <c r="AC163" s="30"/>
      <c r="AD163" s="30"/>
      <c r="AE163" s="30"/>
      <c r="AF163" s="177"/>
      <c r="AG163" s="177"/>
      <c r="AH163" s="177"/>
      <c r="AI163" s="177"/>
      <c r="AJ163" s="177"/>
      <c r="AK163" s="177"/>
      <c r="AL163" s="177"/>
      <c r="AM163" s="177"/>
      <c r="AN163" s="177"/>
      <c r="AO163" s="177"/>
      <c r="AP163" s="166"/>
      <c r="AQ163" s="166"/>
      <c r="AR163" s="3"/>
      <c r="AS163" s="3"/>
      <c r="AT163" s="3"/>
      <c r="AU163" s="3"/>
      <c r="AV163" s="3"/>
      <c r="AW163" s="3"/>
      <c r="AX163" s="3"/>
      <c r="AY163" s="3"/>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row>
    <row r="164" spans="1:247" ht="78" hidden="1" customHeight="1" x14ac:dyDescent="0.3">
      <c r="A164" s="23">
        <v>52</v>
      </c>
      <c r="B164" s="24" t="s">
        <v>301</v>
      </c>
      <c r="C164" s="25" t="s">
        <v>245</v>
      </c>
      <c r="D164" s="25">
        <v>2022</v>
      </c>
      <c r="E164" s="25">
        <v>2022</v>
      </c>
      <c r="F164" s="25"/>
      <c r="G164" s="40">
        <f t="shared" si="39"/>
        <v>1092</v>
      </c>
      <c r="H164" s="36"/>
      <c r="I164" s="28"/>
      <c r="J164" s="36">
        <v>1092</v>
      </c>
      <c r="K164" s="28"/>
      <c r="L164" s="28"/>
      <c r="M164" s="36"/>
      <c r="N164" s="37"/>
      <c r="O164" s="37"/>
      <c r="P164" s="28"/>
      <c r="Q164" s="37"/>
      <c r="R164" s="37"/>
      <c r="S164" s="37"/>
      <c r="T164" s="37"/>
      <c r="U164" s="30"/>
      <c r="V164" s="30"/>
      <c r="W164" s="30"/>
      <c r="X164" s="30"/>
      <c r="Y164" s="30"/>
      <c r="Z164" s="30"/>
      <c r="AA164" s="30"/>
      <c r="AB164" s="30"/>
      <c r="AC164" s="30"/>
      <c r="AD164" s="30"/>
      <c r="AE164" s="30"/>
      <c r="AF164" s="177"/>
      <c r="AG164" s="177"/>
      <c r="AH164" s="177"/>
      <c r="AI164" s="177"/>
      <c r="AJ164" s="177"/>
      <c r="AK164" s="177"/>
      <c r="AL164" s="177"/>
      <c r="AM164" s="177"/>
      <c r="AN164" s="177"/>
      <c r="AO164" s="177"/>
      <c r="AP164" s="166"/>
      <c r="AQ164" s="166"/>
      <c r="AR164" s="3"/>
      <c r="AS164" s="3"/>
      <c r="AT164" s="3"/>
      <c r="AU164" s="3"/>
      <c r="AV164" s="3"/>
      <c r="AW164" s="3"/>
      <c r="AX164" s="3"/>
      <c r="AY164" s="3"/>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row>
    <row r="165" spans="1:247" ht="78" hidden="1" customHeight="1" x14ac:dyDescent="0.3">
      <c r="A165" s="23">
        <v>53</v>
      </c>
      <c r="B165" s="24" t="s">
        <v>302</v>
      </c>
      <c r="C165" s="25" t="s">
        <v>245</v>
      </c>
      <c r="D165" s="25">
        <v>2021</v>
      </c>
      <c r="E165" s="25">
        <v>2022</v>
      </c>
      <c r="F165" s="25"/>
      <c r="G165" s="40">
        <f t="shared" si="39"/>
        <v>1329</v>
      </c>
      <c r="H165" s="36"/>
      <c r="I165" s="28"/>
      <c r="J165" s="36">
        <v>1329</v>
      </c>
      <c r="K165" s="28"/>
      <c r="L165" s="28"/>
      <c r="M165" s="36"/>
      <c r="N165" s="37"/>
      <c r="O165" s="37"/>
      <c r="P165" s="28"/>
      <c r="Q165" s="37"/>
      <c r="R165" s="37"/>
      <c r="S165" s="37"/>
      <c r="T165" s="37"/>
      <c r="U165" s="30"/>
      <c r="V165" s="30"/>
      <c r="W165" s="30"/>
      <c r="X165" s="30"/>
      <c r="Y165" s="30"/>
      <c r="Z165" s="30"/>
      <c r="AA165" s="30"/>
      <c r="AB165" s="30"/>
      <c r="AC165" s="30"/>
      <c r="AD165" s="30"/>
      <c r="AE165" s="30"/>
      <c r="AF165" s="177"/>
      <c r="AG165" s="177"/>
      <c r="AH165" s="177"/>
      <c r="AI165" s="177"/>
      <c r="AJ165" s="177"/>
      <c r="AK165" s="177"/>
      <c r="AL165" s="177"/>
      <c r="AM165" s="177"/>
      <c r="AN165" s="177"/>
      <c r="AO165" s="177"/>
      <c r="AP165" s="166"/>
      <c r="AQ165" s="166"/>
      <c r="AR165" s="3"/>
      <c r="AS165" s="3"/>
      <c r="AT165" s="3"/>
      <c r="AU165" s="3"/>
      <c r="AV165" s="3"/>
      <c r="AW165" s="3"/>
      <c r="AX165" s="3"/>
      <c r="AY165" s="3"/>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row>
    <row r="166" spans="1:247" ht="78" hidden="1" customHeight="1" x14ac:dyDescent="0.3">
      <c r="A166" s="23">
        <v>54</v>
      </c>
      <c r="B166" s="24" t="s">
        <v>303</v>
      </c>
      <c r="C166" s="25" t="s">
        <v>245</v>
      </c>
      <c r="D166" s="25">
        <v>2021</v>
      </c>
      <c r="E166" s="25">
        <v>2022</v>
      </c>
      <c r="F166" s="25"/>
      <c r="G166" s="40">
        <f t="shared" si="39"/>
        <v>1038</v>
      </c>
      <c r="H166" s="36"/>
      <c r="I166" s="28"/>
      <c r="J166" s="36">
        <v>1038</v>
      </c>
      <c r="K166" s="28"/>
      <c r="L166" s="28"/>
      <c r="M166" s="36"/>
      <c r="N166" s="37"/>
      <c r="O166" s="37"/>
      <c r="P166" s="28"/>
      <c r="Q166" s="37"/>
      <c r="R166" s="37"/>
      <c r="S166" s="37"/>
      <c r="T166" s="37"/>
      <c r="U166" s="30"/>
      <c r="V166" s="30"/>
      <c r="W166" s="30"/>
      <c r="X166" s="30"/>
      <c r="Y166" s="30"/>
      <c r="Z166" s="30"/>
      <c r="AA166" s="30"/>
      <c r="AB166" s="30"/>
      <c r="AC166" s="30"/>
      <c r="AD166" s="30"/>
      <c r="AE166" s="30"/>
      <c r="AF166" s="177"/>
      <c r="AG166" s="177"/>
      <c r="AH166" s="177"/>
      <c r="AI166" s="177"/>
      <c r="AJ166" s="177"/>
      <c r="AK166" s="177"/>
      <c r="AL166" s="177"/>
      <c r="AM166" s="177"/>
      <c r="AN166" s="177"/>
      <c r="AO166" s="177"/>
      <c r="AP166" s="166"/>
      <c r="AQ166" s="166"/>
      <c r="AR166" s="3"/>
      <c r="AS166" s="3"/>
      <c r="AT166" s="3"/>
      <c r="AU166" s="3"/>
      <c r="AV166" s="3"/>
      <c r="AW166" s="3"/>
      <c r="AX166" s="3"/>
      <c r="AY166" s="3"/>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row>
    <row r="167" spans="1:247" ht="78" hidden="1" customHeight="1" x14ac:dyDescent="0.3">
      <c r="A167" s="23">
        <v>55</v>
      </c>
      <c r="B167" s="24" t="s">
        <v>304</v>
      </c>
      <c r="C167" s="25" t="s">
        <v>245</v>
      </c>
      <c r="D167" s="25" t="s">
        <v>305</v>
      </c>
      <c r="E167" s="25">
        <v>2022</v>
      </c>
      <c r="F167" s="25"/>
      <c r="G167" s="40">
        <f t="shared" si="39"/>
        <v>521</v>
      </c>
      <c r="H167" s="36"/>
      <c r="I167" s="28"/>
      <c r="J167" s="36">
        <v>521</v>
      </c>
      <c r="K167" s="28"/>
      <c r="L167" s="28"/>
      <c r="M167" s="36"/>
      <c r="N167" s="37"/>
      <c r="O167" s="37"/>
      <c r="P167" s="28"/>
      <c r="Q167" s="37"/>
      <c r="R167" s="37"/>
      <c r="S167" s="37"/>
      <c r="T167" s="37"/>
      <c r="U167" s="30"/>
      <c r="V167" s="30"/>
      <c r="W167" s="30"/>
      <c r="X167" s="30"/>
      <c r="Y167" s="30"/>
      <c r="Z167" s="30"/>
      <c r="AA167" s="30"/>
      <c r="AB167" s="30"/>
      <c r="AC167" s="30"/>
      <c r="AD167" s="30"/>
      <c r="AE167" s="30"/>
      <c r="AF167" s="177"/>
      <c r="AG167" s="177"/>
      <c r="AH167" s="177"/>
      <c r="AI167" s="177"/>
      <c r="AJ167" s="177"/>
      <c r="AK167" s="177"/>
      <c r="AL167" s="177"/>
      <c r="AM167" s="177"/>
      <c r="AN167" s="177"/>
      <c r="AO167" s="177"/>
      <c r="AP167" s="166"/>
      <c r="AQ167" s="166"/>
      <c r="AR167" s="3"/>
      <c r="AS167" s="3"/>
      <c r="AT167" s="3"/>
      <c r="AU167" s="3"/>
      <c r="AV167" s="3"/>
      <c r="AW167" s="3"/>
      <c r="AX167" s="3"/>
      <c r="AY167" s="3"/>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row>
    <row r="168" spans="1:247" ht="78" hidden="1" customHeight="1" x14ac:dyDescent="0.3">
      <c r="A168" s="23">
        <v>56</v>
      </c>
      <c r="B168" s="24" t="s">
        <v>306</v>
      </c>
      <c r="C168" s="25" t="s">
        <v>245</v>
      </c>
      <c r="D168" s="25" t="s">
        <v>307</v>
      </c>
      <c r="E168" s="25">
        <v>2022</v>
      </c>
      <c r="F168" s="25"/>
      <c r="G168" s="40">
        <f t="shared" si="39"/>
        <v>797</v>
      </c>
      <c r="H168" s="36"/>
      <c r="I168" s="28"/>
      <c r="J168" s="36">
        <v>797</v>
      </c>
      <c r="K168" s="28"/>
      <c r="L168" s="28"/>
      <c r="M168" s="36"/>
      <c r="N168" s="37"/>
      <c r="O168" s="37"/>
      <c r="P168" s="28"/>
      <c r="Q168" s="37"/>
      <c r="R168" s="37"/>
      <c r="S168" s="37"/>
      <c r="T168" s="37"/>
      <c r="U168" s="30"/>
      <c r="V168" s="30"/>
      <c r="W168" s="30"/>
      <c r="X168" s="30"/>
      <c r="Y168" s="30"/>
      <c r="Z168" s="30"/>
      <c r="AA168" s="30"/>
      <c r="AB168" s="30"/>
      <c r="AC168" s="30"/>
      <c r="AD168" s="30"/>
      <c r="AE168" s="30"/>
      <c r="AF168" s="177"/>
      <c r="AG168" s="177"/>
      <c r="AH168" s="177"/>
      <c r="AI168" s="177"/>
      <c r="AJ168" s="177"/>
      <c r="AK168" s="177"/>
      <c r="AL168" s="177"/>
      <c r="AM168" s="177"/>
      <c r="AN168" s="177"/>
      <c r="AO168" s="177"/>
      <c r="AP168" s="166"/>
      <c r="AQ168" s="166"/>
      <c r="AR168" s="3"/>
      <c r="AS168" s="3"/>
      <c r="AT168" s="3"/>
      <c r="AU168" s="3"/>
      <c r="AV168" s="3"/>
      <c r="AW168" s="3"/>
      <c r="AX168" s="3"/>
      <c r="AY168" s="3"/>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row>
    <row r="169" spans="1:247" ht="78" hidden="1" customHeight="1" x14ac:dyDescent="0.3">
      <c r="A169" s="23">
        <v>57</v>
      </c>
      <c r="B169" s="24" t="s">
        <v>308</v>
      </c>
      <c r="C169" s="25" t="s">
        <v>245</v>
      </c>
      <c r="D169" s="25">
        <v>2021</v>
      </c>
      <c r="E169" s="25">
        <v>2022</v>
      </c>
      <c r="F169" s="25"/>
      <c r="G169" s="40">
        <f t="shared" si="39"/>
        <v>1137</v>
      </c>
      <c r="H169" s="36"/>
      <c r="I169" s="28"/>
      <c r="J169" s="36">
        <v>1137</v>
      </c>
      <c r="K169" s="28"/>
      <c r="L169" s="28"/>
      <c r="M169" s="36"/>
      <c r="N169" s="37"/>
      <c r="O169" s="37"/>
      <c r="P169" s="28"/>
      <c r="Q169" s="37"/>
      <c r="R169" s="37"/>
      <c r="S169" s="37"/>
      <c r="T169" s="37"/>
      <c r="U169" s="30"/>
      <c r="V169" s="30"/>
      <c r="W169" s="30"/>
      <c r="X169" s="30"/>
      <c r="Y169" s="30"/>
      <c r="Z169" s="30"/>
      <c r="AA169" s="30"/>
      <c r="AB169" s="30"/>
      <c r="AC169" s="30"/>
      <c r="AD169" s="30"/>
      <c r="AE169" s="30"/>
      <c r="AF169" s="177"/>
      <c r="AG169" s="177"/>
      <c r="AH169" s="177"/>
      <c r="AI169" s="177"/>
      <c r="AJ169" s="177"/>
      <c r="AK169" s="177"/>
      <c r="AL169" s="177"/>
      <c r="AM169" s="177"/>
      <c r="AN169" s="177"/>
      <c r="AO169" s="177"/>
      <c r="AP169" s="166"/>
      <c r="AQ169" s="166"/>
      <c r="AR169" s="3"/>
      <c r="AS169" s="3"/>
      <c r="AT169" s="3"/>
      <c r="AU169" s="3"/>
      <c r="AV169" s="3"/>
      <c r="AW169" s="3"/>
      <c r="AX169" s="3"/>
      <c r="AY169" s="3"/>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row>
    <row r="170" spans="1:247" ht="78" hidden="1" customHeight="1" x14ac:dyDescent="0.3">
      <c r="A170" s="23">
        <v>58</v>
      </c>
      <c r="B170" s="24" t="s">
        <v>309</v>
      </c>
      <c r="C170" s="25" t="s">
        <v>245</v>
      </c>
      <c r="D170" s="25">
        <v>2021</v>
      </c>
      <c r="E170" s="25">
        <v>2022</v>
      </c>
      <c r="F170" s="25"/>
      <c r="G170" s="40">
        <f t="shared" si="39"/>
        <v>623</v>
      </c>
      <c r="H170" s="36"/>
      <c r="I170" s="28"/>
      <c r="J170" s="36">
        <v>623</v>
      </c>
      <c r="K170" s="28"/>
      <c r="L170" s="28"/>
      <c r="M170" s="36"/>
      <c r="N170" s="37"/>
      <c r="O170" s="37"/>
      <c r="P170" s="28"/>
      <c r="Q170" s="37"/>
      <c r="R170" s="37"/>
      <c r="S170" s="37"/>
      <c r="T170" s="37"/>
      <c r="U170" s="38"/>
      <c r="V170" s="38"/>
      <c r="W170" s="38"/>
      <c r="X170" s="38"/>
      <c r="Y170" s="38"/>
      <c r="Z170" s="38"/>
      <c r="AA170" s="38"/>
      <c r="AB170" s="38"/>
      <c r="AC170" s="38"/>
      <c r="AD170" s="38"/>
      <c r="AE170" s="38"/>
      <c r="AF170" s="177"/>
      <c r="AG170" s="177"/>
      <c r="AH170" s="177"/>
      <c r="AI170" s="177"/>
      <c r="AJ170" s="177"/>
      <c r="AK170" s="177"/>
      <c r="AL170" s="177"/>
      <c r="AM170" s="177"/>
      <c r="AN170" s="177"/>
      <c r="AO170" s="177"/>
      <c r="AP170" s="166"/>
      <c r="AQ170" s="166"/>
      <c r="AR170" s="3"/>
      <c r="AS170" s="3"/>
      <c r="AT170" s="3"/>
      <c r="AU170" s="3"/>
      <c r="AV170" s="3"/>
      <c r="AW170" s="3"/>
      <c r="AX170" s="3"/>
      <c r="AY170" s="3"/>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row>
    <row r="171" spans="1:247" ht="78" hidden="1" customHeight="1" x14ac:dyDescent="0.3">
      <c r="A171" s="23">
        <v>59</v>
      </c>
      <c r="B171" s="24" t="s">
        <v>310</v>
      </c>
      <c r="C171" s="25" t="s">
        <v>245</v>
      </c>
      <c r="D171" s="25" t="s">
        <v>311</v>
      </c>
      <c r="E171" s="25">
        <v>2022</v>
      </c>
      <c r="F171" s="25"/>
      <c r="G171" s="40">
        <f t="shared" si="39"/>
        <v>935</v>
      </c>
      <c r="H171" s="36"/>
      <c r="I171" s="28"/>
      <c r="J171" s="36">
        <v>935</v>
      </c>
      <c r="K171" s="28"/>
      <c r="L171" s="28"/>
      <c r="M171" s="36"/>
      <c r="N171" s="37"/>
      <c r="O171" s="37"/>
      <c r="P171" s="28"/>
      <c r="Q171" s="37"/>
      <c r="R171" s="37"/>
      <c r="S171" s="37"/>
      <c r="T171" s="37"/>
      <c r="U171" s="38"/>
      <c r="V171" s="38"/>
      <c r="W171" s="38"/>
      <c r="X171" s="38"/>
      <c r="Y171" s="38"/>
      <c r="Z171" s="38"/>
      <c r="AA171" s="38"/>
      <c r="AB171" s="38"/>
      <c r="AC171" s="38"/>
      <c r="AD171" s="38"/>
      <c r="AE171" s="38"/>
      <c r="AF171" s="177"/>
      <c r="AG171" s="177"/>
      <c r="AH171" s="177"/>
      <c r="AI171" s="177"/>
      <c r="AJ171" s="177"/>
      <c r="AK171" s="177"/>
      <c r="AL171" s="177"/>
      <c r="AM171" s="177"/>
      <c r="AN171" s="177"/>
      <c r="AO171" s="177"/>
      <c r="AP171" s="166"/>
      <c r="AQ171" s="166"/>
      <c r="AR171" s="3"/>
      <c r="AS171" s="3"/>
      <c r="AT171" s="3"/>
      <c r="AU171" s="3"/>
      <c r="AV171" s="3"/>
      <c r="AW171" s="3"/>
      <c r="AX171" s="3"/>
      <c r="AY171" s="3"/>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row>
    <row r="172" spans="1:247" ht="78" hidden="1" customHeight="1" x14ac:dyDescent="0.3">
      <c r="A172" s="23">
        <v>60</v>
      </c>
      <c r="B172" s="24" t="s">
        <v>312</v>
      </c>
      <c r="C172" s="25" t="s">
        <v>245</v>
      </c>
      <c r="D172" s="25" t="s">
        <v>313</v>
      </c>
      <c r="E172" s="25">
        <v>2022</v>
      </c>
      <c r="F172" s="25"/>
      <c r="G172" s="40">
        <f t="shared" si="39"/>
        <v>978</v>
      </c>
      <c r="H172" s="36"/>
      <c r="I172" s="28"/>
      <c r="J172" s="36">
        <v>978</v>
      </c>
      <c r="K172" s="28"/>
      <c r="L172" s="28"/>
      <c r="M172" s="36"/>
      <c r="N172" s="37"/>
      <c r="O172" s="37"/>
      <c r="P172" s="28"/>
      <c r="Q172" s="37"/>
      <c r="R172" s="37"/>
      <c r="S172" s="37"/>
      <c r="T172" s="37"/>
      <c r="U172" s="38"/>
      <c r="V172" s="38"/>
      <c r="W172" s="38"/>
      <c r="X172" s="38"/>
      <c r="Y172" s="38"/>
      <c r="Z172" s="38"/>
      <c r="AA172" s="38"/>
      <c r="AB172" s="38"/>
      <c r="AC172" s="38"/>
      <c r="AD172" s="38"/>
      <c r="AE172" s="38"/>
      <c r="AF172" s="177"/>
      <c r="AG172" s="177"/>
      <c r="AH172" s="177"/>
      <c r="AI172" s="177"/>
      <c r="AJ172" s="177"/>
      <c r="AK172" s="177"/>
      <c r="AL172" s="177"/>
      <c r="AM172" s="177"/>
      <c r="AN172" s="177"/>
      <c r="AO172" s="177"/>
      <c r="AP172" s="166"/>
      <c r="AQ172" s="166"/>
      <c r="AR172" s="3"/>
      <c r="AS172" s="3"/>
      <c r="AT172" s="3"/>
      <c r="AU172" s="3"/>
      <c r="AV172" s="3"/>
      <c r="AW172" s="3"/>
      <c r="AX172" s="3"/>
      <c r="AY172" s="3"/>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row>
    <row r="173" spans="1:247" ht="78" hidden="1" customHeight="1" x14ac:dyDescent="0.3">
      <c r="A173" s="23">
        <v>61</v>
      </c>
      <c r="B173" s="24" t="s">
        <v>314</v>
      </c>
      <c r="C173" s="25" t="s">
        <v>245</v>
      </c>
      <c r="D173" s="25" t="s">
        <v>313</v>
      </c>
      <c r="E173" s="25">
        <v>2022</v>
      </c>
      <c r="F173" s="25"/>
      <c r="G173" s="40">
        <f t="shared" si="39"/>
        <v>328</v>
      </c>
      <c r="H173" s="36"/>
      <c r="I173" s="28"/>
      <c r="J173" s="36">
        <v>328</v>
      </c>
      <c r="K173" s="28"/>
      <c r="L173" s="28"/>
      <c r="M173" s="36"/>
      <c r="N173" s="37"/>
      <c r="O173" s="37"/>
      <c r="P173" s="28"/>
      <c r="Q173" s="37"/>
      <c r="R173" s="37"/>
      <c r="S173" s="37"/>
      <c r="T173" s="37"/>
      <c r="U173" s="38"/>
      <c r="V173" s="38"/>
      <c r="W173" s="38"/>
      <c r="X173" s="38"/>
      <c r="Y173" s="38"/>
      <c r="Z173" s="38"/>
      <c r="AA173" s="38"/>
      <c r="AB173" s="38"/>
      <c r="AC173" s="38"/>
      <c r="AD173" s="38"/>
      <c r="AE173" s="38"/>
      <c r="AF173" s="177"/>
      <c r="AG173" s="177"/>
      <c r="AH173" s="177"/>
      <c r="AI173" s="177"/>
      <c r="AJ173" s="177"/>
      <c r="AK173" s="177"/>
      <c r="AL173" s="177"/>
      <c r="AM173" s="177"/>
      <c r="AN173" s="177"/>
      <c r="AO173" s="177"/>
      <c r="AP173" s="166"/>
      <c r="AQ173" s="166"/>
      <c r="AR173" s="3"/>
      <c r="AS173" s="3"/>
      <c r="AT173" s="3"/>
      <c r="AU173" s="3"/>
      <c r="AV173" s="3"/>
      <c r="AW173" s="3"/>
      <c r="AX173" s="3"/>
      <c r="AY173" s="3"/>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row>
    <row r="174" spans="1:247" ht="78" hidden="1" customHeight="1" x14ac:dyDescent="0.3">
      <c r="A174" s="23">
        <v>62</v>
      </c>
      <c r="B174" s="24" t="s">
        <v>315</v>
      </c>
      <c r="C174" s="25" t="s">
        <v>245</v>
      </c>
      <c r="D174" s="25" t="s">
        <v>316</v>
      </c>
      <c r="E174" s="25">
        <v>2022</v>
      </c>
      <c r="F174" s="25"/>
      <c r="G174" s="40">
        <f t="shared" si="39"/>
        <v>500</v>
      </c>
      <c r="H174" s="36"/>
      <c r="I174" s="28"/>
      <c r="J174" s="36">
        <v>500</v>
      </c>
      <c r="K174" s="28"/>
      <c r="L174" s="28"/>
      <c r="M174" s="36"/>
      <c r="N174" s="37"/>
      <c r="O174" s="37"/>
      <c r="P174" s="28"/>
      <c r="Q174" s="37"/>
      <c r="R174" s="37"/>
      <c r="S174" s="37"/>
      <c r="T174" s="37"/>
      <c r="U174" s="38"/>
      <c r="V174" s="38"/>
      <c r="W174" s="38"/>
      <c r="X174" s="38"/>
      <c r="Y174" s="38"/>
      <c r="Z174" s="38"/>
      <c r="AA174" s="38"/>
      <c r="AB174" s="38"/>
      <c r="AC174" s="38"/>
      <c r="AD174" s="38"/>
      <c r="AE174" s="38"/>
      <c r="AF174" s="177"/>
      <c r="AG174" s="177"/>
      <c r="AH174" s="177"/>
      <c r="AI174" s="177"/>
      <c r="AJ174" s="177"/>
      <c r="AK174" s="177"/>
      <c r="AL174" s="177"/>
      <c r="AM174" s="177"/>
      <c r="AN174" s="177"/>
      <c r="AO174" s="177"/>
      <c r="AP174" s="166"/>
      <c r="AQ174" s="166"/>
      <c r="AR174" s="3"/>
      <c r="AS174" s="3"/>
      <c r="AT174" s="3"/>
      <c r="AU174" s="3"/>
      <c r="AV174" s="3"/>
      <c r="AW174" s="3"/>
      <c r="AX174" s="3"/>
      <c r="AY174" s="3"/>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row>
    <row r="175" spans="1:247" ht="18" customHeight="1" x14ac:dyDescent="0.3">
      <c r="A175" s="16">
        <v>6</v>
      </c>
      <c r="B175" s="70" t="s">
        <v>317</v>
      </c>
      <c r="C175" s="20"/>
      <c r="D175" s="20"/>
      <c r="E175" s="20"/>
      <c r="F175" s="20"/>
      <c r="G175" s="21">
        <f>G177+G195</f>
        <v>57694</v>
      </c>
      <c r="H175" s="21">
        <f t="shared" ref="H175:AO175" si="40">H177+H195</f>
        <v>2567</v>
      </c>
      <c r="I175" s="21">
        <f t="shared" si="40"/>
        <v>39759</v>
      </c>
      <c r="J175" s="21">
        <f t="shared" si="40"/>
        <v>15368</v>
      </c>
      <c r="K175" s="21">
        <f t="shared" si="40"/>
        <v>31033</v>
      </c>
      <c r="L175" s="21">
        <f t="shared" si="40"/>
        <v>12299</v>
      </c>
      <c r="M175" s="21">
        <f t="shared" si="40"/>
        <v>1474</v>
      </c>
      <c r="N175" s="21">
        <f t="shared" si="40"/>
        <v>10660</v>
      </c>
      <c r="O175" s="21">
        <f t="shared" si="40"/>
        <v>165</v>
      </c>
      <c r="P175" s="21">
        <f t="shared" si="40"/>
        <v>18734</v>
      </c>
      <c r="Q175" s="21">
        <f t="shared" si="40"/>
        <v>0</v>
      </c>
      <c r="R175" s="21">
        <f t="shared" si="40"/>
        <v>10323</v>
      </c>
      <c r="S175" s="21">
        <f t="shared" si="40"/>
        <v>8411</v>
      </c>
      <c r="T175" s="21">
        <f t="shared" si="40"/>
        <v>8432</v>
      </c>
      <c r="U175" s="21">
        <f t="shared" si="40"/>
        <v>8093</v>
      </c>
      <c r="V175" s="21">
        <f t="shared" si="40"/>
        <v>0</v>
      </c>
      <c r="W175" s="21">
        <f t="shared" si="40"/>
        <v>618</v>
      </c>
      <c r="X175" s="21">
        <f t="shared" si="40"/>
        <v>1682</v>
      </c>
      <c r="Y175" s="21">
        <f t="shared" si="40"/>
        <v>2650</v>
      </c>
      <c r="Z175" s="21">
        <f t="shared" si="40"/>
        <v>1643</v>
      </c>
      <c r="AA175" s="21">
        <f t="shared" si="40"/>
        <v>1500</v>
      </c>
      <c r="AB175" s="21">
        <f t="shared" si="40"/>
        <v>19073</v>
      </c>
      <c r="AC175" s="21">
        <f t="shared" si="40"/>
        <v>0</v>
      </c>
      <c r="AD175" s="21">
        <f t="shared" si="40"/>
        <v>12491</v>
      </c>
      <c r="AE175" s="21">
        <f t="shared" si="40"/>
        <v>6582</v>
      </c>
      <c r="AF175" s="173">
        <f t="shared" si="40"/>
        <v>23940</v>
      </c>
      <c r="AG175" s="173">
        <f t="shared" si="40"/>
        <v>30346</v>
      </c>
      <c r="AH175" s="173">
        <f t="shared" si="40"/>
        <v>20392</v>
      </c>
      <c r="AI175" s="173">
        <f t="shared" si="40"/>
        <v>2092</v>
      </c>
      <c r="AJ175" s="173">
        <f t="shared" si="40"/>
        <v>14992</v>
      </c>
      <c r="AK175" s="173">
        <f t="shared" si="40"/>
        <v>3308</v>
      </c>
      <c r="AL175" s="173">
        <f t="shared" si="40"/>
        <v>34621</v>
      </c>
      <c r="AM175" s="173">
        <f t="shared" si="40"/>
        <v>475</v>
      </c>
      <c r="AN175" s="173">
        <f t="shared" si="40"/>
        <v>22767</v>
      </c>
      <c r="AO175" s="173">
        <f t="shared" si="40"/>
        <v>11379</v>
      </c>
      <c r="AP175" s="166"/>
      <c r="AQ175" s="166"/>
      <c r="AR175" s="3"/>
      <c r="AS175" s="3"/>
      <c r="AT175" s="3"/>
      <c r="AU175" s="3"/>
      <c r="AV175" s="3"/>
      <c r="AW175" s="3"/>
      <c r="AX175" s="3"/>
      <c r="AY175" s="3"/>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row>
    <row r="176" spans="1:247" ht="18" hidden="1" customHeight="1" x14ac:dyDescent="0.3">
      <c r="A176" s="16" t="s">
        <v>318</v>
      </c>
      <c r="B176" s="70" t="s">
        <v>95</v>
      </c>
      <c r="C176" s="20"/>
      <c r="D176" s="20"/>
      <c r="E176" s="20"/>
      <c r="F176" s="20"/>
      <c r="G176" s="21">
        <f>G177+G190+G195</f>
        <v>71831</v>
      </c>
      <c r="H176" s="21">
        <f>H177+H190+H195</f>
        <v>3567</v>
      </c>
      <c r="I176" s="21">
        <f>I177+I190+I195</f>
        <v>45159</v>
      </c>
      <c r="J176" s="21">
        <f>J177+J190+J195</f>
        <v>23105</v>
      </c>
      <c r="K176" s="21"/>
      <c r="L176" s="21"/>
      <c r="M176" s="21"/>
      <c r="N176" s="21"/>
      <c r="O176" s="21"/>
      <c r="P176" s="21"/>
      <c r="Q176" s="21"/>
      <c r="R176" s="21"/>
      <c r="S176" s="21"/>
      <c r="T176" s="21"/>
      <c r="U176" s="71"/>
      <c r="V176" s="72"/>
      <c r="W176" s="72"/>
      <c r="X176" s="72"/>
      <c r="Y176" s="72"/>
      <c r="Z176" s="72"/>
      <c r="AA176" s="72"/>
      <c r="AB176" s="72"/>
      <c r="AC176" s="72"/>
      <c r="AD176" s="72"/>
      <c r="AE176" s="72"/>
      <c r="AF176" s="177"/>
      <c r="AG176" s="177"/>
      <c r="AH176" s="177"/>
      <c r="AI176" s="177"/>
      <c r="AJ176" s="177"/>
      <c r="AK176" s="177"/>
      <c r="AL176" s="177"/>
      <c r="AM176" s="177"/>
      <c r="AN176" s="177"/>
      <c r="AO176" s="177"/>
      <c r="AP176" s="166"/>
      <c r="AQ176" s="166"/>
      <c r="AR176" s="3"/>
      <c r="AS176" s="3"/>
      <c r="AT176" s="3"/>
      <c r="AU176" s="3"/>
      <c r="AV176" s="3"/>
      <c r="AW176" s="3"/>
      <c r="AX176" s="3"/>
      <c r="AY176" s="3"/>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row>
    <row r="177" spans="1:247" ht="25.2" customHeight="1" x14ac:dyDescent="0.3">
      <c r="A177" s="16" t="s">
        <v>42</v>
      </c>
      <c r="B177" s="74" t="s">
        <v>43</v>
      </c>
      <c r="C177" s="107"/>
      <c r="D177" s="20"/>
      <c r="E177" s="20"/>
      <c r="F177" s="20"/>
      <c r="G177" s="21">
        <f>SUM(G178:G189)</f>
        <v>54103</v>
      </c>
      <c r="H177" s="21">
        <f t="shared" ref="H177:AO177" si="41">SUM(H178:H189)</f>
        <v>0</v>
      </c>
      <c r="I177" s="21">
        <f t="shared" si="41"/>
        <v>39259</v>
      </c>
      <c r="J177" s="21">
        <f t="shared" si="41"/>
        <v>14844</v>
      </c>
      <c r="K177" s="21">
        <f t="shared" si="41"/>
        <v>29359</v>
      </c>
      <c r="L177" s="21">
        <f t="shared" si="41"/>
        <v>10825</v>
      </c>
      <c r="M177" s="21">
        <f t="shared" si="41"/>
        <v>0</v>
      </c>
      <c r="N177" s="21">
        <f t="shared" si="41"/>
        <v>10660</v>
      </c>
      <c r="O177" s="21">
        <f t="shared" si="41"/>
        <v>165</v>
      </c>
      <c r="P177" s="21">
        <f t="shared" si="41"/>
        <v>18534</v>
      </c>
      <c r="Q177" s="21">
        <f t="shared" si="41"/>
        <v>0</v>
      </c>
      <c r="R177" s="21">
        <f t="shared" si="41"/>
        <v>10323</v>
      </c>
      <c r="S177" s="21">
        <f t="shared" si="41"/>
        <v>8211</v>
      </c>
      <c r="T177" s="21">
        <f t="shared" si="41"/>
        <v>7814</v>
      </c>
      <c r="U177" s="21">
        <f t="shared" si="41"/>
        <v>7275</v>
      </c>
      <c r="V177" s="21">
        <f t="shared" si="41"/>
        <v>0</v>
      </c>
      <c r="W177" s="21">
        <f t="shared" si="41"/>
        <v>0</v>
      </c>
      <c r="X177" s="21">
        <f t="shared" si="41"/>
        <v>1682</v>
      </c>
      <c r="Y177" s="21">
        <f t="shared" si="41"/>
        <v>2650</v>
      </c>
      <c r="Z177" s="21">
        <f t="shared" si="41"/>
        <v>1443</v>
      </c>
      <c r="AA177" s="21">
        <f t="shared" si="41"/>
        <v>1500</v>
      </c>
      <c r="AB177" s="21">
        <f t="shared" si="41"/>
        <v>19073</v>
      </c>
      <c r="AC177" s="21">
        <f t="shared" si="41"/>
        <v>0</v>
      </c>
      <c r="AD177" s="21">
        <f t="shared" si="41"/>
        <v>12491</v>
      </c>
      <c r="AE177" s="21">
        <f t="shared" si="41"/>
        <v>6582</v>
      </c>
      <c r="AF177" s="173">
        <f t="shared" si="41"/>
        <v>20349</v>
      </c>
      <c r="AG177" s="173">
        <f t="shared" si="41"/>
        <v>30346</v>
      </c>
      <c r="AH177" s="173">
        <f t="shared" si="41"/>
        <v>18100</v>
      </c>
      <c r="AI177" s="173">
        <f t="shared" si="41"/>
        <v>0</v>
      </c>
      <c r="AJ177" s="173">
        <f t="shared" si="41"/>
        <v>14992</v>
      </c>
      <c r="AK177" s="173">
        <f t="shared" si="41"/>
        <v>3108</v>
      </c>
      <c r="AL177" s="173">
        <f t="shared" si="41"/>
        <v>33322</v>
      </c>
      <c r="AM177" s="173">
        <f t="shared" si="41"/>
        <v>0</v>
      </c>
      <c r="AN177" s="173">
        <f t="shared" si="41"/>
        <v>22267</v>
      </c>
      <c r="AO177" s="173">
        <f t="shared" si="41"/>
        <v>11055</v>
      </c>
      <c r="AP177" s="166"/>
      <c r="AQ177" s="166"/>
      <c r="AR177" s="3"/>
      <c r="AS177" s="3"/>
      <c r="AT177" s="3"/>
      <c r="AU177" s="3"/>
      <c r="AV177" s="3"/>
      <c r="AW177" s="3"/>
      <c r="AX177" s="3"/>
      <c r="AY177" s="3"/>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row>
    <row r="178" spans="1:247" ht="78" customHeight="1" x14ac:dyDescent="0.3">
      <c r="A178" s="16">
        <v>1</v>
      </c>
      <c r="B178" s="24" t="s">
        <v>319</v>
      </c>
      <c r="C178" s="25" t="s">
        <v>320</v>
      </c>
      <c r="D178" s="25">
        <v>2021</v>
      </c>
      <c r="E178" s="25">
        <v>2022</v>
      </c>
      <c r="F178" s="25" t="s">
        <v>321</v>
      </c>
      <c r="G178" s="104">
        <f>SUM(H178:J178)</f>
        <v>1196</v>
      </c>
      <c r="H178" s="104"/>
      <c r="I178" s="104">
        <v>1000</v>
      </c>
      <c r="J178" s="104">
        <v>196</v>
      </c>
      <c r="K178" s="104">
        <v>1183</v>
      </c>
      <c r="L178" s="104">
        <f>M178+N178+O178</f>
        <v>760</v>
      </c>
      <c r="M178" s="104"/>
      <c r="N178" s="104">
        <v>760</v>
      </c>
      <c r="O178" s="104"/>
      <c r="P178" s="104">
        <f>K178-L178</f>
        <v>423</v>
      </c>
      <c r="Q178" s="104"/>
      <c r="R178" s="104">
        <v>240</v>
      </c>
      <c r="S178" s="104">
        <v>183</v>
      </c>
      <c r="T178" s="104"/>
      <c r="U178" s="105">
        <f>V178+W178+X178+Y178+Z178+AA178</f>
        <v>291</v>
      </c>
      <c r="V178" s="105"/>
      <c r="W178" s="105"/>
      <c r="X178" s="105">
        <v>108</v>
      </c>
      <c r="Y178" s="105"/>
      <c r="Z178" s="105">
        <v>183</v>
      </c>
      <c r="AA178" s="105"/>
      <c r="AB178" s="105">
        <f>P178+T178-U178</f>
        <v>132</v>
      </c>
      <c r="AC178" s="105"/>
      <c r="AD178" s="105">
        <v>132</v>
      </c>
      <c r="AE178" s="105"/>
      <c r="AF178" s="175"/>
      <c r="AG178" s="175">
        <v>1183</v>
      </c>
      <c r="AH178" s="175">
        <f>U178+L178</f>
        <v>1051</v>
      </c>
      <c r="AI178" s="175"/>
      <c r="AJ178" s="175">
        <f>N178+X178+Y178</f>
        <v>868</v>
      </c>
      <c r="AK178" s="175">
        <f>O178+Z178+AA178</f>
        <v>183</v>
      </c>
      <c r="AL178" s="175">
        <f>AG178-AH178</f>
        <v>132</v>
      </c>
      <c r="AM178" s="175"/>
      <c r="AN178" s="175">
        <v>132</v>
      </c>
      <c r="AO178" s="175">
        <v>0</v>
      </c>
      <c r="AP178" s="166"/>
      <c r="AQ178" s="166"/>
      <c r="AR178" s="3"/>
      <c r="AS178" s="3"/>
      <c r="AT178" s="3"/>
      <c r="AU178" s="3"/>
      <c r="AV178" s="3"/>
      <c r="AW178" s="3"/>
      <c r="AX178" s="3"/>
      <c r="AY178" s="3"/>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row>
    <row r="179" spans="1:247" ht="71.400000000000006" customHeight="1" x14ac:dyDescent="0.3">
      <c r="A179" s="16">
        <v>2</v>
      </c>
      <c r="B179" s="24" t="s">
        <v>322</v>
      </c>
      <c r="C179" s="25" t="s">
        <v>320</v>
      </c>
      <c r="D179" s="25">
        <v>2021</v>
      </c>
      <c r="E179" s="25">
        <v>2022</v>
      </c>
      <c r="F179" s="25" t="s">
        <v>323</v>
      </c>
      <c r="G179" s="104">
        <f t="shared" ref="G179:G186" si="42">SUM(H179:J179)</f>
        <v>1098</v>
      </c>
      <c r="H179" s="104"/>
      <c r="I179" s="104">
        <v>900</v>
      </c>
      <c r="J179" s="104">
        <v>198</v>
      </c>
      <c r="K179" s="104">
        <v>1096</v>
      </c>
      <c r="L179" s="104">
        <f t="shared" ref="L179:L188" si="43">M179+N179+O179</f>
        <v>720</v>
      </c>
      <c r="M179" s="104"/>
      <c r="N179" s="104">
        <v>720</v>
      </c>
      <c r="O179" s="104"/>
      <c r="P179" s="104">
        <f>K179-L179</f>
        <v>376</v>
      </c>
      <c r="Q179" s="104"/>
      <c r="R179" s="104">
        <v>180</v>
      </c>
      <c r="S179" s="104">
        <v>196</v>
      </c>
      <c r="T179" s="104"/>
      <c r="U179" s="105">
        <f t="shared" ref="U179:U180" si="44">V179+W179+X179+Y179+Z179+AA179</f>
        <v>180</v>
      </c>
      <c r="V179" s="105"/>
      <c r="W179" s="105"/>
      <c r="X179" s="105">
        <v>80</v>
      </c>
      <c r="Y179" s="105"/>
      <c r="Z179" s="105">
        <v>100</v>
      </c>
      <c r="AA179" s="105"/>
      <c r="AB179" s="105">
        <f t="shared" ref="AB179:AB180" si="45">P179+T179-U179</f>
        <v>196</v>
      </c>
      <c r="AC179" s="105"/>
      <c r="AD179" s="105">
        <v>100</v>
      </c>
      <c r="AE179" s="105">
        <v>96</v>
      </c>
      <c r="AF179" s="175"/>
      <c r="AG179" s="175">
        <v>1096</v>
      </c>
      <c r="AH179" s="175">
        <f>U179+L179</f>
        <v>900</v>
      </c>
      <c r="AI179" s="175"/>
      <c r="AJ179" s="175">
        <f>N179+X179+Y179</f>
        <v>800</v>
      </c>
      <c r="AK179" s="175">
        <f>O179+Z179+AA179</f>
        <v>100</v>
      </c>
      <c r="AL179" s="175">
        <f>AG179-AH179</f>
        <v>196</v>
      </c>
      <c r="AM179" s="175"/>
      <c r="AN179" s="175">
        <v>100</v>
      </c>
      <c r="AO179" s="175">
        <v>96</v>
      </c>
      <c r="AP179" s="166"/>
      <c r="AQ179" s="166"/>
      <c r="AR179" s="3"/>
      <c r="AS179" s="3"/>
      <c r="AT179" s="3"/>
      <c r="AU179" s="3"/>
      <c r="AV179" s="3"/>
      <c r="AW179" s="3"/>
      <c r="AX179" s="3"/>
      <c r="AY179" s="3"/>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row>
    <row r="180" spans="1:247" ht="71.400000000000006" customHeight="1" x14ac:dyDescent="0.3">
      <c r="A180" s="16">
        <v>3</v>
      </c>
      <c r="B180" s="24" t="s">
        <v>324</v>
      </c>
      <c r="C180" s="25" t="s">
        <v>320</v>
      </c>
      <c r="D180" s="25" t="s">
        <v>61</v>
      </c>
      <c r="E180" s="25">
        <v>2022</v>
      </c>
      <c r="F180" s="25" t="s">
        <v>325</v>
      </c>
      <c r="G180" s="104">
        <f t="shared" si="42"/>
        <v>3000</v>
      </c>
      <c r="H180" s="104"/>
      <c r="I180" s="104">
        <v>2500</v>
      </c>
      <c r="J180" s="104">
        <v>500</v>
      </c>
      <c r="K180" s="104">
        <v>2953</v>
      </c>
      <c r="L180" s="104">
        <f t="shared" si="43"/>
        <v>2020</v>
      </c>
      <c r="M180" s="104"/>
      <c r="N180" s="104">
        <v>2020</v>
      </c>
      <c r="O180" s="104"/>
      <c r="P180" s="104">
        <f>K180-L180</f>
        <v>933</v>
      </c>
      <c r="Q180" s="104"/>
      <c r="R180" s="104">
        <v>480</v>
      </c>
      <c r="S180" s="104">
        <v>453</v>
      </c>
      <c r="T180" s="104"/>
      <c r="U180" s="105">
        <f t="shared" si="44"/>
        <v>616</v>
      </c>
      <c r="V180" s="105"/>
      <c r="W180" s="105"/>
      <c r="X180" s="105">
        <v>216</v>
      </c>
      <c r="Y180" s="105"/>
      <c r="Z180" s="105">
        <v>400</v>
      </c>
      <c r="AA180" s="105"/>
      <c r="AB180" s="105">
        <f t="shared" si="45"/>
        <v>317</v>
      </c>
      <c r="AC180" s="105"/>
      <c r="AD180" s="105">
        <v>264</v>
      </c>
      <c r="AE180" s="105">
        <v>53</v>
      </c>
      <c r="AF180" s="175"/>
      <c r="AG180" s="175">
        <v>2953</v>
      </c>
      <c r="AH180" s="175">
        <f>U180+L180</f>
        <v>2636</v>
      </c>
      <c r="AI180" s="175"/>
      <c r="AJ180" s="175">
        <f>N180+X180+Y180</f>
        <v>2236</v>
      </c>
      <c r="AK180" s="175">
        <f>O180+Z180+AA180</f>
        <v>400</v>
      </c>
      <c r="AL180" s="175">
        <f>AG180-AH180</f>
        <v>317</v>
      </c>
      <c r="AM180" s="175"/>
      <c r="AN180" s="175">
        <v>264</v>
      </c>
      <c r="AO180" s="175">
        <v>53</v>
      </c>
      <c r="AP180" s="166"/>
      <c r="AQ180" s="166"/>
      <c r="AR180" s="3"/>
      <c r="AS180" s="3"/>
      <c r="AT180" s="3"/>
      <c r="AU180" s="3"/>
      <c r="AV180" s="3"/>
      <c r="AW180" s="3"/>
      <c r="AX180" s="3"/>
      <c r="AY180" s="3"/>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row>
    <row r="181" spans="1:247" ht="71.400000000000006" customHeight="1" x14ac:dyDescent="0.3">
      <c r="A181" s="16">
        <v>4</v>
      </c>
      <c r="B181" s="24" t="s">
        <v>326</v>
      </c>
      <c r="C181" s="25" t="s">
        <v>320</v>
      </c>
      <c r="D181" s="25">
        <v>2022</v>
      </c>
      <c r="E181" s="25">
        <v>2023</v>
      </c>
      <c r="F181" s="25" t="s">
        <v>327</v>
      </c>
      <c r="G181" s="104">
        <f>SUM(H181:J181)</f>
        <v>1800</v>
      </c>
      <c r="H181" s="104"/>
      <c r="I181" s="104">
        <v>1200</v>
      </c>
      <c r="J181" s="104">
        <v>600</v>
      </c>
      <c r="K181" s="104">
        <v>1765</v>
      </c>
      <c r="L181" s="104">
        <f t="shared" si="43"/>
        <v>560</v>
      </c>
      <c r="M181" s="104"/>
      <c r="N181" s="104">
        <v>560</v>
      </c>
      <c r="O181" s="104"/>
      <c r="P181" s="104">
        <f>K181-L181</f>
        <v>1205</v>
      </c>
      <c r="Q181" s="104"/>
      <c r="R181" s="104">
        <f>1200-560</f>
        <v>640</v>
      </c>
      <c r="S181" s="104">
        <f>P181-R181</f>
        <v>565</v>
      </c>
      <c r="T181" s="104"/>
      <c r="U181" s="105">
        <f t="shared" ref="U181:U188" si="46">V181+W181+X181+Y181+Z181+AA181</f>
        <v>426</v>
      </c>
      <c r="V181" s="105"/>
      <c r="W181" s="105"/>
      <c r="X181" s="105">
        <v>126</v>
      </c>
      <c r="Y181" s="105"/>
      <c r="Z181" s="105">
        <v>300</v>
      </c>
      <c r="AA181" s="105"/>
      <c r="AB181" s="105">
        <f>P181+T181-U181</f>
        <v>779</v>
      </c>
      <c r="AC181" s="105"/>
      <c r="AD181" s="105">
        <f>640-126</f>
        <v>514</v>
      </c>
      <c r="AE181" s="105">
        <f>265</f>
        <v>265</v>
      </c>
      <c r="AF181" s="175"/>
      <c r="AG181" s="175">
        <v>1765</v>
      </c>
      <c r="AH181" s="175">
        <f>U181+L181</f>
        <v>986</v>
      </c>
      <c r="AI181" s="175"/>
      <c r="AJ181" s="175">
        <f>N181+X181+Y181</f>
        <v>686</v>
      </c>
      <c r="AK181" s="175">
        <f>O181+Y181+Z181</f>
        <v>300</v>
      </c>
      <c r="AL181" s="175">
        <f>AG181-AH181</f>
        <v>779</v>
      </c>
      <c r="AM181" s="175"/>
      <c r="AN181" s="175">
        <v>514</v>
      </c>
      <c r="AO181" s="175">
        <v>265</v>
      </c>
      <c r="AP181" s="166"/>
      <c r="AQ181" s="166"/>
      <c r="AR181" s="3"/>
      <c r="AS181" s="3"/>
      <c r="AT181" s="3"/>
      <c r="AU181" s="3"/>
      <c r="AV181" s="3"/>
      <c r="AW181" s="3"/>
      <c r="AX181" s="3"/>
      <c r="AY181" s="3"/>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row>
    <row r="182" spans="1:247" ht="71.400000000000006" customHeight="1" x14ac:dyDescent="0.3">
      <c r="A182" s="16">
        <v>5</v>
      </c>
      <c r="B182" s="24" t="s">
        <v>328</v>
      </c>
      <c r="C182" s="25" t="s">
        <v>320</v>
      </c>
      <c r="D182" s="25">
        <v>2022</v>
      </c>
      <c r="E182" s="25">
        <v>2023</v>
      </c>
      <c r="F182" s="25" t="s">
        <v>329</v>
      </c>
      <c r="G182" s="104">
        <f>SUM(H182:J182)</f>
        <v>2500</v>
      </c>
      <c r="H182" s="104"/>
      <c r="I182" s="104">
        <v>2000</v>
      </c>
      <c r="J182" s="104">
        <v>500</v>
      </c>
      <c r="K182" s="104">
        <v>2493</v>
      </c>
      <c r="L182" s="104">
        <f t="shared" si="43"/>
        <v>1200</v>
      </c>
      <c r="M182" s="104"/>
      <c r="N182" s="104">
        <v>1200</v>
      </c>
      <c r="O182" s="104"/>
      <c r="P182" s="104">
        <f>K182-L182</f>
        <v>1293</v>
      </c>
      <c r="Q182" s="104"/>
      <c r="R182" s="104">
        <f>I182-N182</f>
        <v>800</v>
      </c>
      <c r="S182" s="104">
        <f>P182-R182</f>
        <v>493</v>
      </c>
      <c r="T182" s="120"/>
      <c r="U182" s="105">
        <f t="shared" si="46"/>
        <v>418</v>
      </c>
      <c r="V182" s="105"/>
      <c r="W182" s="105"/>
      <c r="X182" s="105">
        <v>158</v>
      </c>
      <c r="Y182" s="105"/>
      <c r="Z182" s="105">
        <v>260</v>
      </c>
      <c r="AA182" s="105"/>
      <c r="AB182" s="105">
        <f>P182+T182-U182</f>
        <v>875</v>
      </c>
      <c r="AC182" s="105"/>
      <c r="AD182" s="105">
        <f>R182-X182</f>
        <v>642</v>
      </c>
      <c r="AE182" s="105">
        <f>S182-Z182</f>
        <v>233</v>
      </c>
      <c r="AF182" s="177"/>
      <c r="AG182" s="175">
        <v>2493</v>
      </c>
      <c r="AH182" s="175">
        <f>U182+L182</f>
        <v>1618</v>
      </c>
      <c r="AI182" s="175"/>
      <c r="AJ182" s="175">
        <f>N182+X182+Y182</f>
        <v>1358</v>
      </c>
      <c r="AK182" s="175">
        <f>O182+Y182+Z182</f>
        <v>260</v>
      </c>
      <c r="AL182" s="175">
        <f>AG182-AH182</f>
        <v>875</v>
      </c>
      <c r="AM182" s="175"/>
      <c r="AN182" s="175">
        <f>2000-1358</f>
        <v>642</v>
      </c>
      <c r="AO182" s="175">
        <f>AL182-AN182</f>
        <v>233</v>
      </c>
      <c r="AP182" s="166"/>
      <c r="AQ182" s="166"/>
      <c r="AR182" s="3"/>
      <c r="AS182" s="3"/>
      <c r="AT182" s="3"/>
      <c r="AU182" s="3"/>
      <c r="AV182" s="3"/>
      <c r="AW182" s="3"/>
      <c r="AX182" s="3"/>
      <c r="AY182" s="3"/>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row>
    <row r="183" spans="1:247" ht="71.400000000000006" hidden="1" customHeight="1" x14ac:dyDescent="0.3">
      <c r="A183" s="16">
        <v>6</v>
      </c>
      <c r="B183" s="24" t="s">
        <v>330</v>
      </c>
      <c r="C183" s="25" t="s">
        <v>320</v>
      </c>
      <c r="D183" s="25">
        <v>2022</v>
      </c>
      <c r="E183" s="25">
        <v>2023</v>
      </c>
      <c r="F183" s="25" t="s">
        <v>331</v>
      </c>
      <c r="G183" s="104">
        <f t="shared" si="42"/>
        <v>2479</v>
      </c>
      <c r="H183" s="104"/>
      <c r="I183" s="104">
        <v>2000</v>
      </c>
      <c r="J183" s="104">
        <v>479</v>
      </c>
      <c r="K183" s="104"/>
      <c r="L183" s="104">
        <f t="shared" si="43"/>
        <v>0</v>
      </c>
      <c r="M183" s="104"/>
      <c r="N183" s="104"/>
      <c r="O183" s="104"/>
      <c r="P183" s="104"/>
      <c r="Q183" s="104"/>
      <c r="R183" s="104"/>
      <c r="S183" s="104"/>
      <c r="T183" s="120"/>
      <c r="U183" s="105">
        <f t="shared" si="46"/>
        <v>0</v>
      </c>
      <c r="V183" s="105"/>
      <c r="W183" s="105"/>
      <c r="X183" s="105"/>
      <c r="Y183" s="105"/>
      <c r="Z183" s="105"/>
      <c r="AA183" s="105"/>
      <c r="AB183" s="105"/>
      <c r="AC183" s="105"/>
      <c r="AD183" s="105"/>
      <c r="AE183" s="105"/>
      <c r="AF183" s="175"/>
      <c r="AG183" s="175"/>
      <c r="AH183" s="175"/>
      <c r="AI183" s="175"/>
      <c r="AJ183" s="175"/>
      <c r="AK183" s="175"/>
      <c r="AL183" s="175"/>
      <c r="AM183" s="175"/>
      <c r="AN183" s="175"/>
      <c r="AO183" s="175"/>
      <c r="AP183" s="166"/>
      <c r="AQ183" s="166"/>
      <c r="AR183" s="3"/>
      <c r="AS183" s="3"/>
      <c r="AT183" s="3"/>
      <c r="AU183" s="3"/>
      <c r="AV183" s="3"/>
      <c r="AW183" s="3"/>
      <c r="AX183" s="3"/>
      <c r="AY183" s="3"/>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row>
    <row r="184" spans="1:247" ht="54.75" customHeight="1" x14ac:dyDescent="0.3">
      <c r="A184" s="16">
        <v>7</v>
      </c>
      <c r="B184" s="24" t="s">
        <v>332</v>
      </c>
      <c r="C184" s="25" t="s">
        <v>320</v>
      </c>
      <c r="D184" s="25">
        <v>2022</v>
      </c>
      <c r="E184" s="25">
        <v>2023</v>
      </c>
      <c r="F184" s="25" t="s">
        <v>333</v>
      </c>
      <c r="G184" s="104">
        <f t="shared" si="42"/>
        <v>2000</v>
      </c>
      <c r="H184" s="104"/>
      <c r="I184" s="104">
        <v>1600</v>
      </c>
      <c r="J184" s="104">
        <v>400</v>
      </c>
      <c r="K184" s="121">
        <v>1284</v>
      </c>
      <c r="L184" s="104">
        <f t="shared" si="43"/>
        <v>700</v>
      </c>
      <c r="M184" s="121"/>
      <c r="N184" s="121">
        <v>700</v>
      </c>
      <c r="O184" s="121"/>
      <c r="P184" s="104">
        <f>K184-L184</f>
        <v>584</v>
      </c>
      <c r="Q184" s="104"/>
      <c r="R184" s="104">
        <v>300</v>
      </c>
      <c r="S184" s="104">
        <v>284</v>
      </c>
      <c r="T184" s="104">
        <v>716</v>
      </c>
      <c r="U184" s="105">
        <f t="shared" si="46"/>
        <v>362</v>
      </c>
      <c r="V184" s="105"/>
      <c r="W184" s="105"/>
      <c r="X184" s="105">
        <v>162</v>
      </c>
      <c r="Y184" s="105"/>
      <c r="Z184" s="105">
        <v>200</v>
      </c>
      <c r="AA184" s="122"/>
      <c r="AB184" s="105">
        <f t="shared" ref="AB184:AB189" si="47">P184+T184-U184</f>
        <v>938</v>
      </c>
      <c r="AC184" s="122"/>
      <c r="AD184" s="122">
        <v>738</v>
      </c>
      <c r="AE184" s="122">
        <f>400-200</f>
        <v>200</v>
      </c>
      <c r="AF184" s="181">
        <f>T184+K184</f>
        <v>2000</v>
      </c>
      <c r="AG184" s="182"/>
      <c r="AH184" s="175">
        <f t="shared" ref="AH184:AH189" si="48">U184+L184</f>
        <v>1062</v>
      </c>
      <c r="AI184" s="183"/>
      <c r="AJ184" s="175">
        <f t="shared" ref="AJ184:AJ189" si="49">N184+X184+Y184</f>
        <v>862</v>
      </c>
      <c r="AK184" s="175">
        <f>O184+Z184+AA184</f>
        <v>200</v>
      </c>
      <c r="AL184" s="175">
        <f>AF184-AH184</f>
        <v>938</v>
      </c>
      <c r="AM184" s="183"/>
      <c r="AN184" s="183">
        <f>1600-700-162</f>
        <v>738</v>
      </c>
      <c r="AO184" s="183">
        <v>200</v>
      </c>
      <c r="AP184" s="166"/>
      <c r="AQ184" s="166"/>
      <c r="AR184" s="3"/>
      <c r="AS184" s="3"/>
      <c r="AT184" s="3"/>
      <c r="AU184" s="3"/>
      <c r="AV184" s="3"/>
      <c r="AW184" s="3"/>
      <c r="AX184" s="3"/>
      <c r="AY184" s="3"/>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row>
    <row r="185" spans="1:247" ht="54.75" customHeight="1" x14ac:dyDescent="0.3">
      <c r="A185" s="16">
        <v>8</v>
      </c>
      <c r="B185" s="24" t="s">
        <v>334</v>
      </c>
      <c r="C185" s="25" t="s">
        <v>320</v>
      </c>
      <c r="D185" s="25">
        <v>2022</v>
      </c>
      <c r="E185" s="25">
        <v>2023</v>
      </c>
      <c r="F185" s="25" t="s">
        <v>335</v>
      </c>
      <c r="G185" s="104">
        <f t="shared" si="42"/>
        <v>14983</v>
      </c>
      <c r="H185" s="104"/>
      <c r="I185" s="104">
        <v>8983</v>
      </c>
      <c r="J185" s="104">
        <v>6000</v>
      </c>
      <c r="K185" s="121">
        <v>14885</v>
      </c>
      <c r="L185" s="104">
        <f t="shared" si="43"/>
        <v>1465</v>
      </c>
      <c r="M185" s="121"/>
      <c r="N185" s="121">
        <v>1300</v>
      </c>
      <c r="O185" s="121">
        <v>165</v>
      </c>
      <c r="P185" s="104">
        <f>K185-L185</f>
        <v>13420</v>
      </c>
      <c r="Q185" s="104"/>
      <c r="R185" s="104">
        <f>I185-N185</f>
        <v>7683</v>
      </c>
      <c r="S185" s="104">
        <f>P185-R185</f>
        <v>5737</v>
      </c>
      <c r="T185" s="104"/>
      <c r="U185" s="105">
        <f t="shared" si="46"/>
        <v>2332</v>
      </c>
      <c r="V185" s="105"/>
      <c r="W185" s="105"/>
      <c r="X185" s="105">
        <v>832</v>
      </c>
      <c r="Y185" s="105"/>
      <c r="Z185" s="105"/>
      <c r="AA185" s="122">
        <v>1500</v>
      </c>
      <c r="AB185" s="105">
        <f t="shared" si="47"/>
        <v>11088</v>
      </c>
      <c r="AC185" s="122"/>
      <c r="AD185" s="122">
        <f>R185-X185</f>
        <v>6851</v>
      </c>
      <c r="AE185" s="122">
        <f>S185-AA185</f>
        <v>4237</v>
      </c>
      <c r="AF185" s="181"/>
      <c r="AG185" s="182">
        <v>14885</v>
      </c>
      <c r="AH185" s="175">
        <f t="shared" si="48"/>
        <v>3797</v>
      </c>
      <c r="AI185" s="183"/>
      <c r="AJ185" s="175">
        <f t="shared" si="49"/>
        <v>2132</v>
      </c>
      <c r="AK185" s="175">
        <f>O185+Z185+AA185</f>
        <v>1665</v>
      </c>
      <c r="AL185" s="175">
        <f>AG185-AH185</f>
        <v>11088</v>
      </c>
      <c r="AM185" s="183"/>
      <c r="AN185" s="183">
        <f>I185-AJ185</f>
        <v>6851</v>
      </c>
      <c r="AO185" s="183">
        <f>AL185-AN185</f>
        <v>4237</v>
      </c>
      <c r="AP185" s="166"/>
      <c r="AQ185" s="166"/>
      <c r="AR185" s="3"/>
      <c r="AS185" s="3"/>
      <c r="AT185" s="3"/>
      <c r="AU185" s="3"/>
      <c r="AV185" s="3"/>
      <c r="AW185" s="3"/>
      <c r="AX185" s="3"/>
      <c r="AY185" s="3"/>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row>
    <row r="186" spans="1:247" s="10" customFormat="1" ht="69.75" customHeight="1" x14ac:dyDescent="0.3">
      <c r="A186" s="16">
        <v>9</v>
      </c>
      <c r="B186" s="123" t="s">
        <v>336</v>
      </c>
      <c r="C186" s="25" t="s">
        <v>320</v>
      </c>
      <c r="D186" s="25">
        <v>2023</v>
      </c>
      <c r="E186" s="25">
        <v>2025</v>
      </c>
      <c r="F186" s="25" t="s">
        <v>337</v>
      </c>
      <c r="G186" s="104">
        <f t="shared" si="42"/>
        <v>2000</v>
      </c>
      <c r="H186" s="26"/>
      <c r="I186" s="104">
        <v>1200</v>
      </c>
      <c r="J186" s="104">
        <v>800</v>
      </c>
      <c r="K186" s="26">
        <v>600</v>
      </c>
      <c r="L186" s="104">
        <f t="shared" si="43"/>
        <v>400</v>
      </c>
      <c r="M186" s="26"/>
      <c r="N186" s="104">
        <v>400</v>
      </c>
      <c r="O186" s="26"/>
      <c r="P186" s="104">
        <f>K186-L186</f>
        <v>200</v>
      </c>
      <c r="Q186" s="26"/>
      <c r="R186" s="104"/>
      <c r="S186" s="104">
        <v>200</v>
      </c>
      <c r="T186" s="26">
        <v>1400</v>
      </c>
      <c r="U186" s="105">
        <f t="shared" si="46"/>
        <v>400</v>
      </c>
      <c r="V186" s="124"/>
      <c r="W186" s="124"/>
      <c r="X186" s="124"/>
      <c r="Y186" s="85">
        <v>400</v>
      </c>
      <c r="Z186" s="124"/>
      <c r="AA186" s="124"/>
      <c r="AB186" s="105">
        <f t="shared" si="47"/>
        <v>1200</v>
      </c>
      <c r="AC186" s="125"/>
      <c r="AD186" s="125">
        <v>400</v>
      </c>
      <c r="AE186" s="125">
        <v>800</v>
      </c>
      <c r="AF186" s="184">
        <v>2000</v>
      </c>
      <c r="AG186" s="185"/>
      <c r="AH186" s="175">
        <f t="shared" si="48"/>
        <v>800</v>
      </c>
      <c r="AI186" s="185"/>
      <c r="AJ186" s="175">
        <f t="shared" si="49"/>
        <v>800</v>
      </c>
      <c r="AK186" s="185"/>
      <c r="AL186" s="175">
        <f>AF186-AH186</f>
        <v>1200</v>
      </c>
      <c r="AM186" s="185"/>
      <c r="AN186" s="185">
        <v>400</v>
      </c>
      <c r="AO186" s="185">
        <v>800</v>
      </c>
      <c r="AP186" s="166"/>
      <c r="AQ186" s="166"/>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row>
    <row r="187" spans="1:247" ht="60.75" customHeight="1" x14ac:dyDescent="0.3">
      <c r="A187" s="16">
        <v>10</v>
      </c>
      <c r="B187" s="123" t="s">
        <v>338</v>
      </c>
      <c r="C187" s="25" t="s">
        <v>320</v>
      </c>
      <c r="D187" s="25">
        <v>2023</v>
      </c>
      <c r="E187" s="25">
        <v>2025</v>
      </c>
      <c r="F187" s="25" t="s">
        <v>339</v>
      </c>
      <c r="G187" s="26">
        <f>SUM(H187:J187)</f>
        <v>2100</v>
      </c>
      <c r="H187" s="126"/>
      <c r="I187" s="126">
        <v>1600</v>
      </c>
      <c r="J187" s="126">
        <v>500</v>
      </c>
      <c r="K187" s="28">
        <v>600</v>
      </c>
      <c r="L187" s="104">
        <f t="shared" si="43"/>
        <v>500</v>
      </c>
      <c r="M187" s="28"/>
      <c r="N187" s="28">
        <v>500</v>
      </c>
      <c r="O187" s="28"/>
      <c r="P187" s="104">
        <f>K187-L187</f>
        <v>100</v>
      </c>
      <c r="Q187" s="104"/>
      <c r="R187" s="104"/>
      <c r="S187" s="104">
        <v>100</v>
      </c>
      <c r="T187" s="127">
        <v>1500</v>
      </c>
      <c r="U187" s="105">
        <f t="shared" si="46"/>
        <v>50</v>
      </c>
      <c r="V187" s="85"/>
      <c r="W187" s="85"/>
      <c r="X187" s="85"/>
      <c r="Y187" s="85">
        <v>50</v>
      </c>
      <c r="Z187" s="85"/>
      <c r="AA187" s="85"/>
      <c r="AB187" s="105">
        <f t="shared" si="47"/>
        <v>1550</v>
      </c>
      <c r="AC187" s="85"/>
      <c r="AD187" s="85">
        <v>1050</v>
      </c>
      <c r="AE187" s="85">
        <v>500</v>
      </c>
      <c r="AF187" s="185">
        <v>2100</v>
      </c>
      <c r="AG187" s="185"/>
      <c r="AH187" s="175">
        <f t="shared" si="48"/>
        <v>550</v>
      </c>
      <c r="AI187" s="186"/>
      <c r="AJ187" s="175">
        <f t="shared" si="49"/>
        <v>550</v>
      </c>
      <c r="AK187" s="183"/>
      <c r="AL187" s="175">
        <f>AF187-AH187</f>
        <v>1550</v>
      </c>
      <c r="AM187" s="183"/>
      <c r="AN187" s="183">
        <v>1050</v>
      </c>
      <c r="AO187" s="183">
        <v>500</v>
      </c>
      <c r="AP187" s="166"/>
      <c r="AQ187" s="166"/>
      <c r="AR187" s="3"/>
      <c r="AS187" s="3"/>
      <c r="AT187" s="3"/>
      <c r="AU187" s="3"/>
      <c r="AV187" s="3"/>
      <c r="AW187" s="3"/>
      <c r="AX187" s="3"/>
      <c r="AY187" s="3"/>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row>
    <row r="188" spans="1:247" ht="70.5" customHeight="1" x14ac:dyDescent="0.3">
      <c r="A188" s="16">
        <v>11</v>
      </c>
      <c r="B188" s="123" t="s">
        <v>340</v>
      </c>
      <c r="C188" s="25" t="s">
        <v>320</v>
      </c>
      <c r="D188" s="25">
        <v>2023</v>
      </c>
      <c r="E188" s="25">
        <v>2025</v>
      </c>
      <c r="F188" s="25" t="s">
        <v>341</v>
      </c>
      <c r="G188" s="26">
        <f>SUM(H188:J188)</f>
        <v>5971</v>
      </c>
      <c r="H188" s="126"/>
      <c r="I188" s="126">
        <v>5800</v>
      </c>
      <c r="J188" s="126">
        <v>171</v>
      </c>
      <c r="K188" s="28">
        <v>2000</v>
      </c>
      <c r="L188" s="104">
        <f t="shared" si="43"/>
        <v>2000</v>
      </c>
      <c r="M188" s="28"/>
      <c r="N188" s="28">
        <v>2000</v>
      </c>
      <c r="O188" s="28"/>
      <c r="P188" s="104">
        <f>K188-L188</f>
        <v>0</v>
      </c>
      <c r="Q188" s="28"/>
      <c r="R188" s="28"/>
      <c r="S188" s="28"/>
      <c r="T188" s="26">
        <v>3971</v>
      </c>
      <c r="U188" s="105">
        <f t="shared" si="46"/>
        <v>2000</v>
      </c>
      <c r="V188" s="128"/>
      <c r="W188" s="128"/>
      <c r="X188" s="128"/>
      <c r="Y188" s="128">
        <v>2000</v>
      </c>
      <c r="Z188" s="128"/>
      <c r="AA188" s="128"/>
      <c r="AB188" s="105">
        <f t="shared" si="47"/>
        <v>1971</v>
      </c>
      <c r="AC188" s="128"/>
      <c r="AD188" s="128">
        <v>1800</v>
      </c>
      <c r="AE188" s="128">
        <v>171</v>
      </c>
      <c r="AF188" s="185"/>
      <c r="AG188" s="185">
        <v>5971</v>
      </c>
      <c r="AH188" s="175">
        <f t="shared" si="48"/>
        <v>4000</v>
      </c>
      <c r="AI188" s="183"/>
      <c r="AJ188" s="175">
        <f t="shared" si="49"/>
        <v>4000</v>
      </c>
      <c r="AK188" s="183"/>
      <c r="AL188" s="175">
        <f>AG188-AH188</f>
        <v>1971</v>
      </c>
      <c r="AM188" s="183"/>
      <c r="AN188" s="183">
        <v>1800</v>
      </c>
      <c r="AO188" s="183">
        <v>171</v>
      </c>
      <c r="AP188" s="166"/>
      <c r="AQ188" s="166"/>
      <c r="AR188" s="3"/>
      <c r="AS188" s="3"/>
      <c r="AT188" s="3"/>
      <c r="AU188" s="3"/>
      <c r="AV188" s="3"/>
      <c r="AW188" s="3"/>
      <c r="AX188" s="3"/>
      <c r="AY188" s="3"/>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row>
    <row r="189" spans="1:247" ht="74.25" customHeight="1" x14ac:dyDescent="0.3">
      <c r="A189" s="16">
        <v>12</v>
      </c>
      <c r="B189" s="24" t="s">
        <v>342</v>
      </c>
      <c r="C189" s="25" t="s">
        <v>320</v>
      </c>
      <c r="D189" s="25">
        <v>2023</v>
      </c>
      <c r="E189" s="25">
        <v>2025</v>
      </c>
      <c r="F189" s="25" t="s">
        <v>343</v>
      </c>
      <c r="G189" s="26">
        <f>H189+I189+J189</f>
        <v>14976</v>
      </c>
      <c r="H189" s="126"/>
      <c r="I189" s="126">
        <v>10476</v>
      </c>
      <c r="J189" s="126">
        <v>4500</v>
      </c>
      <c r="K189" s="28">
        <v>500</v>
      </c>
      <c r="L189" s="104">
        <f>M189+N189+O189</f>
        <v>500</v>
      </c>
      <c r="M189" s="28"/>
      <c r="N189" s="28">
        <v>500</v>
      </c>
      <c r="O189" s="28"/>
      <c r="P189" s="28"/>
      <c r="Q189" s="28"/>
      <c r="R189" s="28"/>
      <c r="S189" s="28"/>
      <c r="T189" s="26">
        <v>227</v>
      </c>
      <c r="U189" s="105">
        <f t="shared" ref="U189:U194" si="50">V189+W189+X189+Y189+Z189+AA189</f>
        <v>200</v>
      </c>
      <c r="V189" s="128"/>
      <c r="W189" s="128"/>
      <c r="X189" s="128"/>
      <c r="Y189" s="128">
        <v>200</v>
      </c>
      <c r="Z189" s="128"/>
      <c r="AA189" s="128"/>
      <c r="AB189" s="105">
        <f t="shared" si="47"/>
        <v>27</v>
      </c>
      <c r="AC189" s="128"/>
      <c r="AD189" s="128"/>
      <c r="AE189" s="128">
        <v>27</v>
      </c>
      <c r="AF189" s="185">
        <f>14976-727</f>
        <v>14249</v>
      </c>
      <c r="AG189" s="185"/>
      <c r="AH189" s="175">
        <f t="shared" si="48"/>
        <v>700</v>
      </c>
      <c r="AI189" s="183"/>
      <c r="AJ189" s="175">
        <f t="shared" si="49"/>
        <v>700</v>
      </c>
      <c r="AK189" s="183"/>
      <c r="AL189" s="183">
        <f>AN189+AO189</f>
        <v>14276</v>
      </c>
      <c r="AM189" s="183"/>
      <c r="AN189" s="183">
        <f>10476-700</f>
        <v>9776</v>
      </c>
      <c r="AO189" s="183">
        <v>4500</v>
      </c>
      <c r="AP189" s="166"/>
      <c r="AQ189" s="166"/>
      <c r="AR189" s="3"/>
      <c r="AS189" s="3"/>
      <c r="AT189" s="3"/>
      <c r="AU189" s="3"/>
      <c r="AV189" s="3"/>
      <c r="AW189" s="3"/>
      <c r="AX189" s="3"/>
      <c r="AY189" s="3"/>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row>
    <row r="190" spans="1:247" ht="34.950000000000003" hidden="1" customHeight="1" x14ac:dyDescent="0.3">
      <c r="A190" s="23" t="s">
        <v>42</v>
      </c>
      <c r="B190" s="74" t="s">
        <v>249</v>
      </c>
      <c r="C190" s="25"/>
      <c r="D190" s="129"/>
      <c r="E190" s="129"/>
      <c r="F190" s="25"/>
      <c r="G190" s="21">
        <f>SUM(G191:G194)</f>
        <v>14137</v>
      </c>
      <c r="H190" s="21">
        <f t="shared" ref="H190:J190" si="51">SUM(H191:H194)</f>
        <v>1000</v>
      </c>
      <c r="I190" s="21">
        <f t="shared" si="51"/>
        <v>5400</v>
      </c>
      <c r="J190" s="21">
        <f t="shared" si="51"/>
        <v>7737</v>
      </c>
      <c r="K190" s="21"/>
      <c r="L190" s="21"/>
      <c r="M190" s="21"/>
      <c r="N190" s="21"/>
      <c r="O190" s="21"/>
      <c r="P190" s="21"/>
      <c r="Q190" s="21"/>
      <c r="R190" s="21"/>
      <c r="S190" s="21"/>
      <c r="T190" s="21"/>
      <c r="U190" s="105">
        <f t="shared" si="50"/>
        <v>0</v>
      </c>
      <c r="V190" s="38"/>
      <c r="W190" s="38"/>
      <c r="X190" s="38"/>
      <c r="Y190" s="38"/>
      <c r="Z190" s="38"/>
      <c r="AA190" s="38"/>
      <c r="AB190" s="38"/>
      <c r="AC190" s="38"/>
      <c r="AD190" s="38"/>
      <c r="AE190" s="38"/>
      <c r="AF190" s="178"/>
      <c r="AG190" s="178"/>
      <c r="AH190" s="177"/>
      <c r="AI190" s="177"/>
      <c r="AJ190" s="177"/>
      <c r="AK190" s="177"/>
      <c r="AL190" s="177"/>
      <c r="AM190" s="177"/>
      <c r="AN190" s="177"/>
      <c r="AO190" s="177"/>
      <c r="AP190" s="166"/>
      <c r="AQ190" s="166"/>
      <c r="AR190" s="3"/>
      <c r="AS190" s="3"/>
      <c r="AT190" s="3"/>
      <c r="AU190" s="3"/>
      <c r="AV190" s="3"/>
      <c r="AW190" s="3"/>
      <c r="AX190" s="3"/>
      <c r="AY190" s="3"/>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row>
    <row r="191" spans="1:247" ht="54.75" hidden="1" customHeight="1" x14ac:dyDescent="0.3">
      <c r="A191" s="130">
        <v>1</v>
      </c>
      <c r="B191" s="24" t="s">
        <v>344</v>
      </c>
      <c r="C191" s="25" t="s">
        <v>320</v>
      </c>
      <c r="D191" s="25">
        <v>2022</v>
      </c>
      <c r="E191" s="25">
        <v>2023</v>
      </c>
      <c r="F191" s="25" t="s">
        <v>345</v>
      </c>
      <c r="G191" s="104">
        <f>SUM(H191:J191)</f>
        <v>6000</v>
      </c>
      <c r="H191" s="104"/>
      <c r="I191" s="104">
        <v>5000</v>
      </c>
      <c r="J191" s="104">
        <v>1000</v>
      </c>
      <c r="K191" s="104"/>
      <c r="L191" s="104"/>
      <c r="M191" s="104"/>
      <c r="N191" s="104"/>
      <c r="O191" s="104"/>
      <c r="P191" s="104"/>
      <c r="Q191" s="104"/>
      <c r="R191" s="104"/>
      <c r="S191" s="104"/>
      <c r="T191" s="104"/>
      <c r="U191" s="105">
        <f t="shared" si="50"/>
        <v>0</v>
      </c>
      <c r="V191" s="105"/>
      <c r="W191" s="105"/>
      <c r="X191" s="105"/>
      <c r="Y191" s="105"/>
      <c r="Z191" s="105"/>
      <c r="AA191" s="105"/>
      <c r="AB191" s="105"/>
      <c r="AC191" s="105"/>
      <c r="AD191" s="105"/>
      <c r="AE191" s="105"/>
      <c r="AF191" s="181"/>
      <c r="AG191" s="181"/>
      <c r="AH191" s="177"/>
      <c r="AI191" s="177"/>
      <c r="AJ191" s="177"/>
      <c r="AK191" s="177"/>
      <c r="AL191" s="177"/>
      <c r="AM191" s="177"/>
      <c r="AN191" s="177"/>
      <c r="AO191" s="177"/>
      <c r="AP191" s="166"/>
      <c r="AQ191" s="166"/>
      <c r="AR191" s="3"/>
      <c r="AS191" s="3"/>
      <c r="AT191" s="3"/>
      <c r="AU191" s="3"/>
      <c r="AV191" s="3"/>
      <c r="AW191" s="3"/>
      <c r="AX191" s="3"/>
      <c r="AY191" s="3"/>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row>
    <row r="192" spans="1:247" ht="71.400000000000006" hidden="1" customHeight="1" x14ac:dyDescent="0.3">
      <c r="A192" s="130">
        <v>2</v>
      </c>
      <c r="B192" s="123" t="s">
        <v>346</v>
      </c>
      <c r="C192" s="25" t="s">
        <v>320</v>
      </c>
      <c r="D192" s="25">
        <v>2023</v>
      </c>
      <c r="E192" s="25">
        <v>2025</v>
      </c>
      <c r="F192" s="25" t="s">
        <v>347</v>
      </c>
      <c r="G192" s="104">
        <f>SUM(H192:J192)</f>
        <v>3952</v>
      </c>
      <c r="H192" s="104"/>
      <c r="I192" s="104"/>
      <c r="J192" s="104">
        <v>3952</v>
      </c>
      <c r="K192" s="104"/>
      <c r="L192" s="104"/>
      <c r="M192" s="104"/>
      <c r="N192" s="104"/>
      <c r="O192" s="104"/>
      <c r="P192" s="104"/>
      <c r="Q192" s="104"/>
      <c r="R192" s="104"/>
      <c r="S192" s="104"/>
      <c r="T192" s="104"/>
      <c r="U192" s="105">
        <f t="shared" si="50"/>
        <v>0</v>
      </c>
      <c r="V192" s="105"/>
      <c r="W192" s="105"/>
      <c r="X192" s="105"/>
      <c r="Y192" s="105"/>
      <c r="Z192" s="105"/>
      <c r="AA192" s="105"/>
      <c r="AB192" s="105"/>
      <c r="AC192" s="105"/>
      <c r="AD192" s="105"/>
      <c r="AE192" s="105"/>
      <c r="AF192" s="181"/>
      <c r="AG192" s="181"/>
      <c r="AH192" s="177"/>
      <c r="AI192" s="177"/>
      <c r="AJ192" s="177"/>
      <c r="AK192" s="177"/>
      <c r="AL192" s="177"/>
      <c r="AM192" s="177"/>
      <c r="AN192" s="177"/>
      <c r="AO192" s="177"/>
      <c r="AP192" s="166"/>
      <c r="AQ192" s="166"/>
      <c r="AR192" s="3"/>
      <c r="AS192" s="3"/>
      <c r="AT192" s="3"/>
      <c r="AU192" s="3"/>
      <c r="AV192" s="3"/>
      <c r="AW192" s="3"/>
      <c r="AX192" s="3"/>
      <c r="AY192" s="3"/>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row>
    <row r="193" spans="1:247" ht="55.5" hidden="1" customHeight="1" x14ac:dyDescent="0.3">
      <c r="A193" s="130">
        <v>3</v>
      </c>
      <c r="B193" s="123" t="s">
        <v>348</v>
      </c>
      <c r="C193" s="25" t="s">
        <v>320</v>
      </c>
      <c r="D193" s="25">
        <v>2023</v>
      </c>
      <c r="E193" s="25">
        <v>2025</v>
      </c>
      <c r="F193" s="25" t="s">
        <v>349</v>
      </c>
      <c r="G193" s="26">
        <f>SUM(H193:J193)</f>
        <v>1742</v>
      </c>
      <c r="H193" s="126">
        <v>1000</v>
      </c>
      <c r="I193" s="126">
        <v>400</v>
      </c>
      <c r="J193" s="126">
        <v>342</v>
      </c>
      <c r="K193" s="26"/>
      <c r="L193" s="26"/>
      <c r="M193" s="26"/>
      <c r="N193" s="26"/>
      <c r="O193" s="26"/>
      <c r="P193" s="26"/>
      <c r="Q193" s="26"/>
      <c r="R193" s="26"/>
      <c r="S193" s="26"/>
      <c r="T193" s="26"/>
      <c r="U193" s="105">
        <f t="shared" si="50"/>
        <v>2150000000</v>
      </c>
      <c r="V193" s="131"/>
      <c r="W193" s="131"/>
      <c r="X193" s="131"/>
      <c r="Y193" s="131"/>
      <c r="Z193" s="131"/>
      <c r="AA193" s="132">
        <v>2150000000</v>
      </c>
      <c r="AB193" s="131"/>
      <c r="AC193" s="131"/>
      <c r="AD193" s="131"/>
      <c r="AE193" s="131"/>
      <c r="AF193" s="176"/>
      <c r="AG193" s="176"/>
      <c r="AH193" s="177"/>
      <c r="AI193" s="177"/>
      <c r="AJ193" s="177"/>
      <c r="AK193" s="177"/>
      <c r="AL193" s="177"/>
      <c r="AM193" s="177"/>
      <c r="AN193" s="177"/>
      <c r="AO193" s="177"/>
      <c r="AP193" s="166"/>
      <c r="AQ193" s="166"/>
      <c r="AR193" s="3"/>
      <c r="AS193" s="3"/>
      <c r="AT193" s="3"/>
      <c r="AU193" s="3"/>
      <c r="AV193" s="3"/>
      <c r="AW193" s="3"/>
      <c r="AX193" s="3"/>
      <c r="AY193" s="3"/>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row>
    <row r="194" spans="1:247" ht="51.75" hidden="1" customHeight="1" x14ac:dyDescent="0.3">
      <c r="A194" s="130">
        <v>4</v>
      </c>
      <c r="B194" s="24" t="s">
        <v>350</v>
      </c>
      <c r="C194" s="25" t="s">
        <v>320</v>
      </c>
      <c r="D194" s="25">
        <v>2023</v>
      </c>
      <c r="E194" s="25">
        <v>2025</v>
      </c>
      <c r="F194" s="25" t="s">
        <v>351</v>
      </c>
      <c r="G194" s="26">
        <f>SUM(H194:J194)</f>
        <v>2443</v>
      </c>
      <c r="H194" s="126"/>
      <c r="I194" s="126"/>
      <c r="J194" s="126">
        <v>2443</v>
      </c>
      <c r="K194" s="28"/>
      <c r="L194" s="28"/>
      <c r="M194" s="28"/>
      <c r="N194" s="28"/>
      <c r="O194" s="28"/>
      <c r="P194" s="28"/>
      <c r="Q194" s="28"/>
      <c r="R194" s="28"/>
      <c r="S194" s="28"/>
      <c r="T194" s="26"/>
      <c r="U194" s="105">
        <f t="shared" si="50"/>
        <v>0</v>
      </c>
      <c r="V194" s="29"/>
      <c r="W194" s="29"/>
      <c r="X194" s="29"/>
      <c r="Y194" s="29"/>
      <c r="Z194" s="29"/>
      <c r="AA194" s="29"/>
      <c r="AB194" s="29"/>
      <c r="AC194" s="29"/>
      <c r="AD194" s="29"/>
      <c r="AE194" s="29"/>
      <c r="AF194" s="176"/>
      <c r="AG194" s="176"/>
      <c r="AH194" s="177"/>
      <c r="AI194" s="177"/>
      <c r="AJ194" s="177"/>
      <c r="AK194" s="177"/>
      <c r="AL194" s="177"/>
      <c r="AM194" s="177"/>
      <c r="AN194" s="177"/>
      <c r="AO194" s="177"/>
      <c r="AP194" s="166"/>
      <c r="AQ194" s="166"/>
      <c r="AR194" s="3"/>
      <c r="AS194" s="3"/>
      <c r="AT194" s="3"/>
      <c r="AU194" s="3"/>
      <c r="AV194" s="3"/>
      <c r="AW194" s="3"/>
      <c r="AX194" s="3"/>
      <c r="AY194" s="3"/>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row>
    <row r="195" spans="1:247" ht="39.6" customHeight="1" x14ac:dyDescent="0.3">
      <c r="A195" s="23" t="s">
        <v>352</v>
      </c>
      <c r="B195" s="133" t="s">
        <v>353</v>
      </c>
      <c r="C195" s="25"/>
      <c r="D195" s="129"/>
      <c r="E195" s="129"/>
      <c r="F195" s="134"/>
      <c r="G195" s="21">
        <f>G196</f>
        <v>3591</v>
      </c>
      <c r="H195" s="21">
        <f t="shared" ref="H195:AO195" si="52">H196</f>
        <v>2567</v>
      </c>
      <c r="I195" s="21">
        <f t="shared" si="52"/>
        <v>500</v>
      </c>
      <c r="J195" s="21">
        <f t="shared" si="52"/>
        <v>524</v>
      </c>
      <c r="K195" s="21">
        <f t="shared" si="52"/>
        <v>1674</v>
      </c>
      <c r="L195" s="21">
        <f t="shared" si="52"/>
        <v>1474</v>
      </c>
      <c r="M195" s="21">
        <f t="shared" si="52"/>
        <v>1474</v>
      </c>
      <c r="N195" s="21">
        <f t="shared" si="52"/>
        <v>0</v>
      </c>
      <c r="O195" s="21">
        <f t="shared" si="52"/>
        <v>0</v>
      </c>
      <c r="P195" s="21">
        <f t="shared" si="52"/>
        <v>200</v>
      </c>
      <c r="Q195" s="21">
        <f t="shared" si="52"/>
        <v>0</v>
      </c>
      <c r="R195" s="21">
        <f t="shared" si="52"/>
        <v>0</v>
      </c>
      <c r="S195" s="21">
        <f t="shared" si="52"/>
        <v>200</v>
      </c>
      <c r="T195" s="21">
        <f t="shared" si="52"/>
        <v>618</v>
      </c>
      <c r="U195" s="21">
        <f t="shared" si="52"/>
        <v>818</v>
      </c>
      <c r="V195" s="21">
        <f t="shared" si="52"/>
        <v>0</v>
      </c>
      <c r="W195" s="21">
        <f t="shared" si="52"/>
        <v>618</v>
      </c>
      <c r="X195" s="21">
        <f t="shared" si="52"/>
        <v>0</v>
      </c>
      <c r="Y195" s="21">
        <f t="shared" si="52"/>
        <v>0</v>
      </c>
      <c r="Z195" s="21">
        <f t="shared" si="52"/>
        <v>200</v>
      </c>
      <c r="AA195" s="21">
        <f t="shared" si="52"/>
        <v>0</v>
      </c>
      <c r="AB195" s="21">
        <f t="shared" si="52"/>
        <v>0</v>
      </c>
      <c r="AC195" s="21">
        <f t="shared" si="52"/>
        <v>0</v>
      </c>
      <c r="AD195" s="21">
        <f t="shared" si="52"/>
        <v>0</v>
      </c>
      <c r="AE195" s="21">
        <f t="shared" si="52"/>
        <v>0</v>
      </c>
      <c r="AF195" s="173">
        <f t="shared" si="52"/>
        <v>3591</v>
      </c>
      <c r="AG195" s="173">
        <f t="shared" si="52"/>
        <v>0</v>
      </c>
      <c r="AH195" s="173">
        <f t="shared" si="52"/>
        <v>2292</v>
      </c>
      <c r="AI195" s="173">
        <f t="shared" si="52"/>
        <v>2092</v>
      </c>
      <c r="AJ195" s="173">
        <f t="shared" si="52"/>
        <v>0</v>
      </c>
      <c r="AK195" s="173">
        <f t="shared" si="52"/>
        <v>200</v>
      </c>
      <c r="AL195" s="173">
        <f t="shared" si="52"/>
        <v>1299</v>
      </c>
      <c r="AM195" s="173">
        <f t="shared" si="52"/>
        <v>475</v>
      </c>
      <c r="AN195" s="173">
        <f t="shared" si="52"/>
        <v>500</v>
      </c>
      <c r="AO195" s="173">
        <f t="shared" si="52"/>
        <v>324</v>
      </c>
      <c r="AP195" s="166"/>
      <c r="AQ195" s="166"/>
      <c r="AR195" s="3"/>
      <c r="AS195" s="3"/>
      <c r="AT195" s="3"/>
      <c r="AU195" s="3"/>
      <c r="AV195" s="3"/>
      <c r="AW195" s="3"/>
      <c r="AX195" s="3"/>
      <c r="AY195" s="3"/>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row>
    <row r="196" spans="1:247" ht="74.25" customHeight="1" x14ac:dyDescent="0.3">
      <c r="A196" s="16">
        <v>1</v>
      </c>
      <c r="B196" s="24" t="s">
        <v>354</v>
      </c>
      <c r="C196" s="25" t="s">
        <v>320</v>
      </c>
      <c r="D196" s="25">
        <v>2023</v>
      </c>
      <c r="E196" s="25">
        <v>2025</v>
      </c>
      <c r="F196" s="25" t="s">
        <v>355</v>
      </c>
      <c r="G196" s="26">
        <f>SUM(H196:J196)</f>
        <v>3591</v>
      </c>
      <c r="H196" s="126">
        <v>2567</v>
      </c>
      <c r="I196" s="126">
        <v>500</v>
      </c>
      <c r="J196" s="126">
        <v>524</v>
      </c>
      <c r="K196" s="28">
        <v>1674</v>
      </c>
      <c r="L196" s="104">
        <f>M196+N196+O196</f>
        <v>1474</v>
      </c>
      <c r="M196" s="28">
        <v>1474</v>
      </c>
      <c r="N196" s="28"/>
      <c r="O196" s="28"/>
      <c r="P196" s="28">
        <v>200</v>
      </c>
      <c r="Q196" s="28"/>
      <c r="R196" s="28"/>
      <c r="S196" s="28">
        <v>200</v>
      </c>
      <c r="T196" s="26">
        <v>618</v>
      </c>
      <c r="U196" s="105">
        <f>V196+W196+X196+Y196+Z196+AA196</f>
        <v>818</v>
      </c>
      <c r="V196" s="29"/>
      <c r="W196" s="29">
        <v>618</v>
      </c>
      <c r="X196" s="29"/>
      <c r="Y196" s="29"/>
      <c r="Z196" s="29">
        <v>200</v>
      </c>
      <c r="AA196" s="29"/>
      <c r="AB196" s="105">
        <f>P196+T196-U196</f>
        <v>0</v>
      </c>
      <c r="AC196" s="29"/>
      <c r="AD196" s="29"/>
      <c r="AE196" s="29"/>
      <c r="AF196" s="185">
        <v>3591</v>
      </c>
      <c r="AG196" s="185"/>
      <c r="AH196" s="183">
        <f>AI196+AJ196+AK196</f>
        <v>2292</v>
      </c>
      <c r="AI196" s="183">
        <v>2092</v>
      </c>
      <c r="AJ196" s="183"/>
      <c r="AK196" s="183">
        <v>200</v>
      </c>
      <c r="AL196" s="183">
        <f>AF196-AH196</f>
        <v>1299</v>
      </c>
      <c r="AM196" s="183">
        <f>2567-2092</f>
        <v>475</v>
      </c>
      <c r="AN196" s="183">
        <v>500</v>
      </c>
      <c r="AO196" s="183">
        <f>AL196-AM196-AN196</f>
        <v>324</v>
      </c>
      <c r="AP196" s="166"/>
      <c r="AQ196" s="166"/>
      <c r="AR196" s="3"/>
      <c r="AS196" s="3"/>
      <c r="AT196" s="3"/>
      <c r="AU196" s="3"/>
      <c r="AV196" s="3"/>
      <c r="AW196" s="3"/>
      <c r="AX196" s="3"/>
      <c r="AY196" s="3"/>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row>
    <row r="197" spans="1:247" s="4" customFormat="1" ht="74.25" hidden="1" customHeight="1" x14ac:dyDescent="0.3">
      <c r="A197" s="16">
        <v>2</v>
      </c>
      <c r="B197" s="24" t="s">
        <v>356</v>
      </c>
      <c r="C197" s="25" t="s">
        <v>320</v>
      </c>
      <c r="D197" s="25">
        <v>2023</v>
      </c>
      <c r="E197" s="25">
        <v>2025</v>
      </c>
      <c r="F197" s="25" t="s">
        <v>357</v>
      </c>
      <c r="G197" s="26">
        <f>SUM(H197:J197)</f>
        <v>300</v>
      </c>
      <c r="H197" s="86">
        <v>200</v>
      </c>
      <c r="I197" s="86"/>
      <c r="J197" s="86">
        <v>100</v>
      </c>
      <c r="K197" s="28"/>
      <c r="L197" s="28"/>
      <c r="M197" s="28"/>
      <c r="N197" s="28"/>
      <c r="O197" s="28"/>
      <c r="P197" s="28"/>
      <c r="Q197" s="28"/>
      <c r="R197" s="28"/>
      <c r="S197" s="28"/>
      <c r="T197" s="26"/>
      <c r="U197" s="30"/>
      <c r="V197" s="30"/>
      <c r="W197" s="30"/>
      <c r="X197" s="30"/>
      <c r="Y197" s="30"/>
      <c r="Z197" s="30"/>
      <c r="AA197" s="30"/>
      <c r="AB197" s="30"/>
      <c r="AC197" s="30"/>
      <c r="AD197" s="30"/>
      <c r="AE197" s="30"/>
      <c r="AF197" s="177"/>
      <c r="AG197" s="177"/>
      <c r="AH197" s="177"/>
      <c r="AI197" s="177"/>
      <c r="AJ197" s="177"/>
      <c r="AK197" s="177"/>
      <c r="AL197" s="177"/>
      <c r="AM197" s="177"/>
      <c r="AN197" s="177"/>
      <c r="AO197" s="177"/>
      <c r="AP197" s="166"/>
      <c r="AQ197" s="166"/>
      <c r="AR197" s="3"/>
      <c r="AS197" s="3"/>
      <c r="AT197" s="3"/>
      <c r="AU197" s="3"/>
      <c r="AV197" s="3"/>
      <c r="AW197" s="3"/>
      <c r="AX197" s="3"/>
      <c r="AY197" s="3"/>
    </row>
    <row r="198" spans="1:247" ht="18" customHeight="1" x14ac:dyDescent="0.3">
      <c r="A198" s="16">
        <v>7</v>
      </c>
      <c r="B198" s="70" t="s">
        <v>358</v>
      </c>
      <c r="C198" s="20"/>
      <c r="D198" s="20"/>
      <c r="E198" s="20"/>
      <c r="F198" s="20"/>
      <c r="G198" s="71">
        <f>G199+G207</f>
        <v>60437</v>
      </c>
      <c r="H198" s="71">
        <f t="shared" ref="H198:AO198" si="53">H199+H207</f>
        <v>10798</v>
      </c>
      <c r="I198" s="71">
        <f t="shared" si="53"/>
        <v>20434</v>
      </c>
      <c r="J198" s="71">
        <f t="shared" si="53"/>
        <v>29205</v>
      </c>
      <c r="K198" s="71">
        <f t="shared" si="53"/>
        <v>44614</v>
      </c>
      <c r="L198" s="71">
        <f t="shared" si="53"/>
        <v>41520</v>
      </c>
      <c r="M198" s="71">
        <f t="shared" si="53"/>
        <v>9589</v>
      </c>
      <c r="N198" s="71">
        <f t="shared" si="53"/>
        <v>6248</v>
      </c>
      <c r="O198" s="71">
        <f t="shared" si="53"/>
        <v>25683</v>
      </c>
      <c r="P198" s="71">
        <f t="shared" si="53"/>
        <v>3094</v>
      </c>
      <c r="Q198" s="71">
        <f t="shared" si="53"/>
        <v>0</v>
      </c>
      <c r="R198" s="71">
        <f t="shared" si="53"/>
        <v>3094</v>
      </c>
      <c r="S198" s="71">
        <f t="shared" si="53"/>
        <v>0</v>
      </c>
      <c r="T198" s="71">
        <f t="shared" si="53"/>
        <v>15432</v>
      </c>
      <c r="U198" s="71">
        <f t="shared" si="53"/>
        <v>6381</v>
      </c>
      <c r="V198" s="71">
        <f t="shared" si="53"/>
        <v>0</v>
      </c>
      <c r="W198" s="71">
        <f t="shared" si="53"/>
        <v>719</v>
      </c>
      <c r="X198" s="71">
        <f t="shared" si="53"/>
        <v>744</v>
      </c>
      <c r="Y198" s="71">
        <f t="shared" si="53"/>
        <v>2785</v>
      </c>
      <c r="Z198" s="71">
        <f t="shared" si="53"/>
        <v>0</v>
      </c>
      <c r="AA198" s="71">
        <f t="shared" si="53"/>
        <v>2133</v>
      </c>
      <c r="AB198" s="71">
        <f t="shared" si="53"/>
        <v>12145</v>
      </c>
      <c r="AC198" s="71">
        <f t="shared" si="53"/>
        <v>474</v>
      </c>
      <c r="AD198" s="71">
        <f t="shared" si="53"/>
        <v>10421</v>
      </c>
      <c r="AE198" s="71">
        <f t="shared" si="53"/>
        <v>1250</v>
      </c>
      <c r="AF198" s="187">
        <f t="shared" si="53"/>
        <v>0</v>
      </c>
      <c r="AG198" s="187">
        <f t="shared" si="53"/>
        <v>60046</v>
      </c>
      <c r="AH198" s="187">
        <f t="shared" si="53"/>
        <v>47901</v>
      </c>
      <c r="AI198" s="187">
        <f t="shared" si="53"/>
        <v>10308</v>
      </c>
      <c r="AJ198" s="187">
        <f t="shared" si="53"/>
        <v>9777</v>
      </c>
      <c r="AK198" s="187">
        <f t="shared" si="53"/>
        <v>27816</v>
      </c>
      <c r="AL198" s="187">
        <f t="shared" si="53"/>
        <v>12145</v>
      </c>
      <c r="AM198" s="187">
        <f t="shared" si="53"/>
        <v>474</v>
      </c>
      <c r="AN198" s="187">
        <f t="shared" si="53"/>
        <v>10421</v>
      </c>
      <c r="AO198" s="187">
        <f t="shared" si="53"/>
        <v>1250</v>
      </c>
      <c r="AP198" s="166"/>
      <c r="AQ198" s="166"/>
      <c r="AR198" s="3"/>
      <c r="AS198" s="3"/>
      <c r="AT198" s="3"/>
      <c r="AU198" s="3"/>
      <c r="AV198" s="3"/>
      <c r="AW198" s="3"/>
      <c r="AX198" s="3"/>
      <c r="AY198" s="3"/>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row>
    <row r="199" spans="1:247" ht="25.2" customHeight="1" x14ac:dyDescent="0.3">
      <c r="A199" s="16" t="s">
        <v>42</v>
      </c>
      <c r="B199" s="107" t="s">
        <v>43</v>
      </c>
      <c r="C199" s="135"/>
      <c r="D199" s="136"/>
      <c r="E199" s="136"/>
      <c r="F199" s="136">
        <f>SUM(F200:F206)</f>
        <v>0</v>
      </c>
      <c r="G199" s="71">
        <f>SUM(G200:G206)</f>
        <v>49353</v>
      </c>
      <c r="H199" s="71">
        <f t="shared" ref="H199:AO199" si="54">SUM(H200:H206)</f>
        <v>3600</v>
      </c>
      <c r="I199" s="71">
        <f t="shared" si="54"/>
        <v>18097</v>
      </c>
      <c r="J199" s="71">
        <f t="shared" si="54"/>
        <v>27656</v>
      </c>
      <c r="K199" s="71">
        <f t="shared" si="54"/>
        <v>35664</v>
      </c>
      <c r="L199" s="71">
        <f t="shared" si="54"/>
        <v>33678</v>
      </c>
      <c r="M199" s="71">
        <f t="shared" si="54"/>
        <v>3600</v>
      </c>
      <c r="N199" s="71">
        <f t="shared" si="54"/>
        <v>5522</v>
      </c>
      <c r="O199" s="71">
        <f t="shared" si="54"/>
        <v>24556</v>
      </c>
      <c r="P199" s="71">
        <f t="shared" si="54"/>
        <v>1986</v>
      </c>
      <c r="Q199" s="71">
        <f t="shared" si="54"/>
        <v>0</v>
      </c>
      <c r="R199" s="71">
        <f t="shared" si="54"/>
        <v>1986</v>
      </c>
      <c r="S199" s="71">
        <f t="shared" si="54"/>
        <v>0</v>
      </c>
      <c r="T199" s="71">
        <f t="shared" si="54"/>
        <v>13610</v>
      </c>
      <c r="U199" s="71">
        <f t="shared" si="54"/>
        <v>5429</v>
      </c>
      <c r="V199" s="71">
        <f t="shared" si="54"/>
        <v>0</v>
      </c>
      <c r="W199" s="71">
        <f t="shared" si="54"/>
        <v>0</v>
      </c>
      <c r="X199" s="71">
        <f t="shared" si="54"/>
        <v>744</v>
      </c>
      <c r="Y199" s="71">
        <f t="shared" si="54"/>
        <v>2785</v>
      </c>
      <c r="Z199" s="71">
        <f t="shared" si="54"/>
        <v>0</v>
      </c>
      <c r="AA199" s="71">
        <f t="shared" si="54"/>
        <v>1900</v>
      </c>
      <c r="AB199" s="71">
        <f t="shared" si="54"/>
        <v>10167</v>
      </c>
      <c r="AC199" s="71">
        <f t="shared" si="54"/>
        <v>0</v>
      </c>
      <c r="AD199" s="71">
        <f t="shared" si="54"/>
        <v>8967</v>
      </c>
      <c r="AE199" s="71">
        <f t="shared" si="54"/>
        <v>1200</v>
      </c>
      <c r="AF199" s="187">
        <f t="shared" si="54"/>
        <v>0</v>
      </c>
      <c r="AG199" s="187">
        <f t="shared" si="54"/>
        <v>49274</v>
      </c>
      <c r="AH199" s="187">
        <f t="shared" si="54"/>
        <v>39107</v>
      </c>
      <c r="AI199" s="187">
        <f t="shared" si="54"/>
        <v>3600</v>
      </c>
      <c r="AJ199" s="187">
        <f t="shared" si="54"/>
        <v>9051</v>
      </c>
      <c r="AK199" s="187">
        <f t="shared" si="54"/>
        <v>26456</v>
      </c>
      <c r="AL199" s="187">
        <f t="shared" si="54"/>
        <v>10167</v>
      </c>
      <c r="AM199" s="187">
        <f t="shared" si="54"/>
        <v>0</v>
      </c>
      <c r="AN199" s="187">
        <f t="shared" si="54"/>
        <v>8967</v>
      </c>
      <c r="AO199" s="187">
        <f t="shared" si="54"/>
        <v>1200</v>
      </c>
      <c r="AP199" s="166"/>
      <c r="AQ199" s="166"/>
      <c r="AR199" s="3"/>
      <c r="AS199" s="3"/>
      <c r="AT199" s="3"/>
      <c r="AU199" s="3"/>
      <c r="AV199" s="3"/>
      <c r="AW199" s="3"/>
      <c r="AX199" s="3"/>
      <c r="AY199" s="3"/>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row>
    <row r="200" spans="1:247" ht="74.25" customHeight="1" x14ac:dyDescent="0.3">
      <c r="A200" s="16">
        <v>1</v>
      </c>
      <c r="B200" s="24" t="s">
        <v>359</v>
      </c>
      <c r="C200" s="25" t="s">
        <v>360</v>
      </c>
      <c r="D200" s="25" t="s">
        <v>361</v>
      </c>
      <c r="E200" s="25"/>
      <c r="F200" s="25" t="s">
        <v>362</v>
      </c>
      <c r="G200" s="26">
        <f t="shared" ref="G200:G205" si="55">SUM(H200:J200)</f>
        <v>6000</v>
      </c>
      <c r="H200" s="126">
        <v>3600</v>
      </c>
      <c r="I200" s="126">
        <v>1200</v>
      </c>
      <c r="J200" s="126">
        <v>1200</v>
      </c>
      <c r="K200" s="28">
        <v>5921</v>
      </c>
      <c r="L200" s="104">
        <f t="shared" ref="L200:L206" si="56">M200+N200+O200</f>
        <v>5760</v>
      </c>
      <c r="M200" s="28">
        <v>3600</v>
      </c>
      <c r="N200" s="28">
        <v>960</v>
      </c>
      <c r="O200" s="28">
        <v>1200</v>
      </c>
      <c r="P200" s="28">
        <f>K200-L200</f>
        <v>161</v>
      </c>
      <c r="Q200" s="28"/>
      <c r="R200" s="28">
        <f>P200</f>
        <v>161</v>
      </c>
      <c r="S200" s="28"/>
      <c r="T200" s="26"/>
      <c r="U200" s="105">
        <f t="shared" ref="U200:U206" si="57">V200+W200+X200+Y200+Z200+AA200</f>
        <v>108</v>
      </c>
      <c r="V200" s="29"/>
      <c r="W200" s="29"/>
      <c r="X200" s="29">
        <v>108</v>
      </c>
      <c r="Y200" s="29"/>
      <c r="Z200" s="29"/>
      <c r="AA200" s="29"/>
      <c r="AB200" s="105">
        <f>(P200+T200)-U200</f>
        <v>53</v>
      </c>
      <c r="AC200" s="29"/>
      <c r="AD200" s="29">
        <v>53</v>
      </c>
      <c r="AE200" s="29"/>
      <c r="AF200" s="185"/>
      <c r="AG200" s="185">
        <v>5921</v>
      </c>
      <c r="AH200" s="183">
        <f t="shared" ref="AH200:AH206" si="58">L200+U200</f>
        <v>5868</v>
      </c>
      <c r="AI200" s="183">
        <f>M200+V200+W200</f>
        <v>3600</v>
      </c>
      <c r="AJ200" s="183">
        <f t="shared" ref="AJ200:AJ206" si="59">N200+X200+Y200</f>
        <v>1068</v>
      </c>
      <c r="AK200" s="183">
        <f t="shared" ref="AK200:AK206" si="60">O200+Z200+AA200</f>
        <v>1200</v>
      </c>
      <c r="AL200" s="183">
        <f t="shared" ref="AL200:AL205" si="61">AG200-AH200</f>
        <v>53</v>
      </c>
      <c r="AM200" s="183"/>
      <c r="AN200" s="183">
        <v>53</v>
      </c>
      <c r="AO200" s="183"/>
      <c r="AP200" s="166"/>
      <c r="AQ200" s="166"/>
      <c r="AR200" s="3"/>
      <c r="AS200" s="3"/>
      <c r="AT200" s="3"/>
      <c r="AU200" s="3"/>
      <c r="AV200" s="3"/>
      <c r="AW200" s="3"/>
      <c r="AX200" s="3"/>
      <c r="AY200" s="3"/>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row>
    <row r="201" spans="1:247" ht="74.25" customHeight="1" x14ac:dyDescent="0.3">
      <c r="A201" s="16">
        <v>2</v>
      </c>
      <c r="B201" s="24" t="s">
        <v>363</v>
      </c>
      <c r="C201" s="25" t="s">
        <v>360</v>
      </c>
      <c r="D201" s="25" t="s">
        <v>364</v>
      </c>
      <c r="E201" s="25" t="s">
        <v>365</v>
      </c>
      <c r="F201" s="25" t="s">
        <v>365</v>
      </c>
      <c r="G201" s="26">
        <f t="shared" si="55"/>
        <v>2000</v>
      </c>
      <c r="H201" s="126"/>
      <c r="I201" s="126">
        <v>1500</v>
      </c>
      <c r="J201" s="126">
        <v>500</v>
      </c>
      <c r="K201" s="28">
        <v>1681</v>
      </c>
      <c r="L201" s="104">
        <f>M201+N201+O201</f>
        <v>1150</v>
      </c>
      <c r="M201" s="28"/>
      <c r="N201" s="28">
        <v>700</v>
      </c>
      <c r="O201" s="28">
        <v>450</v>
      </c>
      <c r="P201" s="28">
        <f>K201-L201</f>
        <v>531</v>
      </c>
      <c r="Q201" s="28"/>
      <c r="R201" s="28">
        <v>531</v>
      </c>
      <c r="S201" s="28"/>
      <c r="T201" s="26">
        <v>319</v>
      </c>
      <c r="U201" s="105">
        <f t="shared" si="57"/>
        <v>158</v>
      </c>
      <c r="V201" s="29"/>
      <c r="W201" s="29"/>
      <c r="X201" s="29">
        <v>158</v>
      </c>
      <c r="Y201" s="29"/>
      <c r="Z201" s="29"/>
      <c r="AA201" s="29"/>
      <c r="AB201" s="105">
        <f t="shared" ref="AB201:AB206" si="62">(P201+T201)-U201</f>
        <v>692</v>
      </c>
      <c r="AC201" s="29"/>
      <c r="AD201" s="29">
        <v>642</v>
      </c>
      <c r="AE201" s="29">
        <v>50</v>
      </c>
      <c r="AF201" s="185"/>
      <c r="AG201" s="185">
        <v>2000</v>
      </c>
      <c r="AH201" s="183">
        <f>L201+U201</f>
        <v>1308</v>
      </c>
      <c r="AI201" s="183">
        <f>M201+V201+W201</f>
        <v>0</v>
      </c>
      <c r="AJ201" s="183">
        <f>N201+X201+Y201</f>
        <v>858</v>
      </c>
      <c r="AK201" s="183">
        <f>O201+Z201+AA201</f>
        <v>450</v>
      </c>
      <c r="AL201" s="183">
        <f>AG201-AH201</f>
        <v>692</v>
      </c>
      <c r="AM201" s="183"/>
      <c r="AN201" s="183">
        <v>642</v>
      </c>
      <c r="AO201" s="183">
        <v>50</v>
      </c>
      <c r="AP201" s="166"/>
      <c r="AQ201" s="166"/>
      <c r="AR201" s="3"/>
      <c r="AS201" s="3"/>
      <c r="AT201" s="3"/>
      <c r="AU201" s="3"/>
      <c r="AV201" s="3"/>
      <c r="AW201" s="3"/>
      <c r="AX201" s="3"/>
      <c r="AY201" s="3"/>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row>
    <row r="202" spans="1:247" ht="74.25" customHeight="1" x14ac:dyDescent="0.3">
      <c r="A202" s="16">
        <v>3</v>
      </c>
      <c r="B202" s="24" t="s">
        <v>366</v>
      </c>
      <c r="C202" s="25" t="s">
        <v>360</v>
      </c>
      <c r="D202" s="25">
        <v>2024</v>
      </c>
      <c r="E202" s="25"/>
      <c r="F202" s="25"/>
      <c r="G202" s="26">
        <f t="shared" si="55"/>
        <v>2992</v>
      </c>
      <c r="H202" s="126"/>
      <c r="I202" s="126">
        <v>1197</v>
      </c>
      <c r="J202" s="126">
        <v>1795</v>
      </c>
      <c r="K202" s="28">
        <v>2967</v>
      </c>
      <c r="L202" s="104">
        <f>M202+N202+O202</f>
        <v>2330</v>
      </c>
      <c r="M202" s="28"/>
      <c r="N202" s="28">
        <v>535</v>
      </c>
      <c r="O202" s="28">
        <v>1795</v>
      </c>
      <c r="P202" s="28">
        <f>K202-L202</f>
        <v>637</v>
      </c>
      <c r="Q202" s="28"/>
      <c r="R202" s="28">
        <v>637</v>
      </c>
      <c r="S202" s="28"/>
      <c r="T202" s="26">
        <v>25</v>
      </c>
      <c r="U202" s="105">
        <f t="shared" si="57"/>
        <v>428</v>
      </c>
      <c r="V202" s="29"/>
      <c r="W202" s="29"/>
      <c r="X202" s="29">
        <v>428</v>
      </c>
      <c r="Y202" s="29"/>
      <c r="Z202" s="29"/>
      <c r="AA202" s="29"/>
      <c r="AB202" s="105">
        <f t="shared" si="62"/>
        <v>234</v>
      </c>
      <c r="AC202" s="29"/>
      <c r="AD202" s="29">
        <v>234</v>
      </c>
      <c r="AE202" s="29"/>
      <c r="AF202" s="185"/>
      <c r="AG202" s="185">
        <v>2992</v>
      </c>
      <c r="AH202" s="183">
        <f t="shared" si="58"/>
        <v>2758</v>
      </c>
      <c r="AI202" s="183">
        <f>M202+V202+W202</f>
        <v>0</v>
      </c>
      <c r="AJ202" s="183">
        <f t="shared" si="59"/>
        <v>963</v>
      </c>
      <c r="AK202" s="183">
        <f t="shared" si="60"/>
        <v>1795</v>
      </c>
      <c r="AL202" s="183">
        <f t="shared" si="61"/>
        <v>234</v>
      </c>
      <c r="AM202" s="183"/>
      <c r="AN202" s="183">
        <v>234</v>
      </c>
      <c r="AO202" s="183"/>
      <c r="AP202" s="166"/>
      <c r="AQ202" s="166"/>
      <c r="AR202" s="3"/>
      <c r="AS202" s="3"/>
      <c r="AT202" s="3"/>
      <c r="AU202" s="3"/>
      <c r="AV202" s="3"/>
      <c r="AW202" s="3"/>
      <c r="AX202" s="3"/>
      <c r="AY202" s="3"/>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row>
    <row r="203" spans="1:247" ht="74.25" customHeight="1" x14ac:dyDescent="0.3">
      <c r="A203" s="16">
        <v>4</v>
      </c>
      <c r="B203" s="24" t="s">
        <v>367</v>
      </c>
      <c r="C203" s="25" t="s">
        <v>360</v>
      </c>
      <c r="D203" s="25" t="s">
        <v>368</v>
      </c>
      <c r="E203" s="25"/>
      <c r="F203" s="25"/>
      <c r="G203" s="26">
        <f t="shared" si="55"/>
        <v>8000</v>
      </c>
      <c r="H203" s="126"/>
      <c r="I203" s="126">
        <v>5500</v>
      </c>
      <c r="J203" s="126">
        <v>2500</v>
      </c>
      <c r="K203" s="28">
        <v>1330</v>
      </c>
      <c r="L203" s="104">
        <f>M203+N203+O203</f>
        <v>1330</v>
      </c>
      <c r="M203" s="28"/>
      <c r="N203" s="28">
        <v>500</v>
      </c>
      <c r="O203" s="28">
        <v>830</v>
      </c>
      <c r="P203" s="28">
        <f t="shared" ref="P203:P205" si="63">K203-L203</f>
        <v>0</v>
      </c>
      <c r="Q203" s="28"/>
      <c r="R203" s="28"/>
      <c r="S203" s="28"/>
      <c r="T203" s="26">
        <v>6670</v>
      </c>
      <c r="U203" s="105">
        <f>V203+W203+X203+Y203+Z203+AA203</f>
        <v>4059</v>
      </c>
      <c r="V203" s="29"/>
      <c r="W203" s="29"/>
      <c r="X203" s="29"/>
      <c r="Y203" s="29">
        <v>2659</v>
      </c>
      <c r="Z203" s="29"/>
      <c r="AA203" s="29">
        <v>1400</v>
      </c>
      <c r="AB203" s="105">
        <f>(P203+T203)-U203</f>
        <v>2611</v>
      </c>
      <c r="AC203" s="29"/>
      <c r="AD203" s="29">
        <v>2341</v>
      </c>
      <c r="AE203" s="29">
        <v>270</v>
      </c>
      <c r="AF203" s="185"/>
      <c r="AG203" s="185">
        <v>8000</v>
      </c>
      <c r="AH203" s="183">
        <f t="shared" si="58"/>
        <v>5389</v>
      </c>
      <c r="AI203" s="183"/>
      <c r="AJ203" s="183">
        <f t="shared" si="59"/>
        <v>3159</v>
      </c>
      <c r="AK203" s="183">
        <f t="shared" si="60"/>
        <v>2230</v>
      </c>
      <c r="AL203" s="183">
        <f t="shared" si="61"/>
        <v>2611</v>
      </c>
      <c r="AM203" s="183"/>
      <c r="AN203" s="183">
        <v>2341</v>
      </c>
      <c r="AO203" s="183">
        <v>270</v>
      </c>
      <c r="AP203" s="166"/>
      <c r="AQ203" s="166"/>
      <c r="AR203" s="3"/>
      <c r="AS203" s="3"/>
      <c r="AT203" s="3"/>
      <c r="AU203" s="3"/>
      <c r="AV203" s="3"/>
      <c r="AW203" s="3"/>
      <c r="AX203" s="3"/>
      <c r="AY203" s="3"/>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row>
    <row r="204" spans="1:247" ht="74.25" customHeight="1" x14ac:dyDescent="0.3">
      <c r="A204" s="16">
        <v>5</v>
      </c>
      <c r="B204" s="24" t="s">
        <v>369</v>
      </c>
      <c r="C204" s="25" t="s">
        <v>360</v>
      </c>
      <c r="D204" s="25" t="s">
        <v>364</v>
      </c>
      <c r="E204" s="25" t="s">
        <v>370</v>
      </c>
      <c r="F204" s="25" t="s">
        <v>370</v>
      </c>
      <c r="G204" s="26">
        <f t="shared" si="55"/>
        <v>3641</v>
      </c>
      <c r="H204" s="126"/>
      <c r="I204" s="126">
        <v>1200</v>
      </c>
      <c r="J204" s="126">
        <v>2441</v>
      </c>
      <c r="K204" s="28">
        <v>2760</v>
      </c>
      <c r="L204" s="104">
        <f t="shared" si="56"/>
        <v>2760</v>
      </c>
      <c r="M204" s="28"/>
      <c r="N204" s="28">
        <v>560</v>
      </c>
      <c r="O204" s="28">
        <v>2200</v>
      </c>
      <c r="P204" s="28">
        <f>K204-L204</f>
        <v>0</v>
      </c>
      <c r="Q204" s="28"/>
      <c r="R204" s="28">
        <v>0</v>
      </c>
      <c r="S204" s="28"/>
      <c r="T204" s="26">
        <v>881</v>
      </c>
      <c r="U204" s="105">
        <f t="shared" si="57"/>
        <v>226</v>
      </c>
      <c r="V204" s="29"/>
      <c r="W204" s="29"/>
      <c r="X204" s="29"/>
      <c r="Y204" s="29">
        <v>126</v>
      </c>
      <c r="Z204" s="29"/>
      <c r="AA204" s="29">
        <v>100</v>
      </c>
      <c r="AB204" s="105">
        <f>(P204+T204)-U204</f>
        <v>655</v>
      </c>
      <c r="AC204" s="29"/>
      <c r="AD204" s="29">
        <v>514</v>
      </c>
      <c r="AE204" s="29">
        <v>141</v>
      </c>
      <c r="AF204" s="185"/>
      <c r="AG204" s="185">
        <v>3641</v>
      </c>
      <c r="AH204" s="183">
        <f t="shared" si="58"/>
        <v>2986</v>
      </c>
      <c r="AI204" s="183"/>
      <c r="AJ204" s="183">
        <f t="shared" si="59"/>
        <v>686</v>
      </c>
      <c r="AK204" s="183">
        <f t="shared" si="60"/>
        <v>2300</v>
      </c>
      <c r="AL204" s="183">
        <f>AG204-AH204</f>
        <v>655</v>
      </c>
      <c r="AM204" s="183"/>
      <c r="AN204" s="183">
        <v>514</v>
      </c>
      <c r="AO204" s="183">
        <v>141</v>
      </c>
      <c r="AP204" s="166"/>
      <c r="AQ204" s="166"/>
      <c r="AR204" s="3"/>
      <c r="AS204" s="3"/>
      <c r="AT204" s="3"/>
      <c r="AU204" s="3"/>
      <c r="AV204" s="3"/>
      <c r="AW204" s="3"/>
      <c r="AX204" s="3"/>
      <c r="AY204" s="3"/>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row>
    <row r="205" spans="1:247" ht="74.25" customHeight="1" x14ac:dyDescent="0.3">
      <c r="A205" s="16">
        <v>6</v>
      </c>
      <c r="B205" s="24" t="s">
        <v>371</v>
      </c>
      <c r="C205" s="25" t="s">
        <v>360</v>
      </c>
      <c r="D205" s="25" t="s">
        <v>364</v>
      </c>
      <c r="E205" s="25" t="s">
        <v>372</v>
      </c>
      <c r="F205" s="25" t="s">
        <v>372</v>
      </c>
      <c r="G205" s="26">
        <f t="shared" si="55"/>
        <v>14800</v>
      </c>
      <c r="H205" s="126"/>
      <c r="I205" s="126">
        <v>3000</v>
      </c>
      <c r="J205" s="126">
        <v>11800</v>
      </c>
      <c r="K205" s="28">
        <v>12863</v>
      </c>
      <c r="L205" s="104">
        <f t="shared" si="56"/>
        <v>12829</v>
      </c>
      <c r="M205" s="28"/>
      <c r="N205" s="28">
        <v>1767</v>
      </c>
      <c r="O205" s="28">
        <v>11062</v>
      </c>
      <c r="P205" s="28">
        <f t="shared" si="63"/>
        <v>34</v>
      </c>
      <c r="Q205" s="28"/>
      <c r="R205" s="28">
        <v>34</v>
      </c>
      <c r="S205" s="28"/>
      <c r="T205" s="26">
        <v>1937</v>
      </c>
      <c r="U205" s="105">
        <f t="shared" si="57"/>
        <v>100</v>
      </c>
      <c r="V205" s="29"/>
      <c r="W205" s="29"/>
      <c r="X205" s="29"/>
      <c r="Y205" s="29"/>
      <c r="Z205" s="29"/>
      <c r="AA205" s="29">
        <v>100</v>
      </c>
      <c r="AB205" s="105">
        <f t="shared" si="62"/>
        <v>1871</v>
      </c>
      <c r="AC205" s="29"/>
      <c r="AD205" s="29">
        <v>1233</v>
      </c>
      <c r="AE205" s="29">
        <v>638</v>
      </c>
      <c r="AF205" s="185"/>
      <c r="AG205" s="185">
        <v>14800</v>
      </c>
      <c r="AH205" s="183">
        <f t="shared" si="58"/>
        <v>12929</v>
      </c>
      <c r="AI205" s="183"/>
      <c r="AJ205" s="183">
        <f t="shared" si="59"/>
        <v>1767</v>
      </c>
      <c r="AK205" s="183">
        <f t="shared" si="60"/>
        <v>11162</v>
      </c>
      <c r="AL205" s="183">
        <f t="shared" si="61"/>
        <v>1871</v>
      </c>
      <c r="AM205" s="183"/>
      <c r="AN205" s="183">
        <v>1233</v>
      </c>
      <c r="AO205" s="183">
        <v>638</v>
      </c>
      <c r="AP205" s="166"/>
      <c r="AQ205" s="166"/>
      <c r="AR205" s="3"/>
      <c r="AS205" s="3"/>
      <c r="AT205" s="3"/>
      <c r="AU205" s="3"/>
      <c r="AV205" s="3"/>
      <c r="AW205" s="3"/>
      <c r="AX205" s="3"/>
      <c r="AY205" s="3"/>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row>
    <row r="206" spans="1:247" ht="74.25" customHeight="1" x14ac:dyDescent="0.3">
      <c r="A206" s="16">
        <v>7</v>
      </c>
      <c r="B206" s="24" t="s">
        <v>373</v>
      </c>
      <c r="C206" s="25" t="s">
        <v>360</v>
      </c>
      <c r="D206" s="25" t="s">
        <v>364</v>
      </c>
      <c r="E206" s="25" t="s">
        <v>374</v>
      </c>
      <c r="F206" s="25" t="s">
        <v>374</v>
      </c>
      <c r="G206" s="26">
        <f>SUM(H206:J206)</f>
        <v>11920</v>
      </c>
      <c r="H206" s="126"/>
      <c r="I206" s="126">
        <v>4500</v>
      </c>
      <c r="J206" s="126">
        <v>7420</v>
      </c>
      <c r="K206" s="28">
        <v>8142</v>
      </c>
      <c r="L206" s="104">
        <f t="shared" si="56"/>
        <v>7519</v>
      </c>
      <c r="M206" s="28"/>
      <c r="N206" s="28">
        <v>500</v>
      </c>
      <c r="O206" s="28">
        <v>7019</v>
      </c>
      <c r="P206" s="28">
        <f>K206-L206</f>
        <v>623</v>
      </c>
      <c r="Q206" s="28"/>
      <c r="R206" s="28">
        <f>P206</f>
        <v>623</v>
      </c>
      <c r="S206" s="28"/>
      <c r="T206" s="26">
        <v>3778</v>
      </c>
      <c r="U206" s="105">
        <f t="shared" si="57"/>
        <v>350</v>
      </c>
      <c r="V206" s="29"/>
      <c r="W206" s="29"/>
      <c r="X206" s="29">
        <v>50</v>
      </c>
      <c r="Y206" s="29"/>
      <c r="Z206" s="29"/>
      <c r="AA206" s="29">
        <v>300</v>
      </c>
      <c r="AB206" s="105">
        <f t="shared" si="62"/>
        <v>4051</v>
      </c>
      <c r="AC206" s="29"/>
      <c r="AD206" s="29">
        <v>3950</v>
      </c>
      <c r="AE206" s="29">
        <v>101</v>
      </c>
      <c r="AF206" s="185"/>
      <c r="AG206" s="185">
        <v>11920</v>
      </c>
      <c r="AH206" s="183">
        <f t="shared" si="58"/>
        <v>7869</v>
      </c>
      <c r="AI206" s="183"/>
      <c r="AJ206" s="183">
        <f t="shared" si="59"/>
        <v>550</v>
      </c>
      <c r="AK206" s="183">
        <f t="shared" si="60"/>
        <v>7319</v>
      </c>
      <c r="AL206" s="183">
        <f>AG206-AH206</f>
        <v>4051</v>
      </c>
      <c r="AM206" s="183"/>
      <c r="AN206" s="183">
        <f>I206-AJ206</f>
        <v>3950</v>
      </c>
      <c r="AO206" s="183">
        <v>101</v>
      </c>
      <c r="AP206" s="166"/>
      <c r="AQ206" s="166"/>
      <c r="AR206" s="3"/>
      <c r="AS206" s="3"/>
      <c r="AT206" s="3"/>
      <c r="AU206" s="3"/>
      <c r="AV206" s="3"/>
      <c r="AW206" s="3"/>
      <c r="AX206" s="3"/>
      <c r="AY206" s="3"/>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row>
    <row r="207" spans="1:247" ht="25.2" customHeight="1" x14ac:dyDescent="0.3">
      <c r="A207" s="16" t="s">
        <v>71</v>
      </c>
      <c r="B207" s="107" t="s">
        <v>353</v>
      </c>
      <c r="C207" s="135"/>
      <c r="D207" s="136"/>
      <c r="E207" s="136"/>
      <c r="F207" s="136"/>
      <c r="G207" s="71">
        <f>SUM(G208:G222)</f>
        <v>11084</v>
      </c>
      <c r="H207" s="71">
        <f t="shared" ref="H207:AO207" si="64">SUM(H208:H222)</f>
        <v>7198</v>
      </c>
      <c r="I207" s="71">
        <f t="shared" si="64"/>
        <v>2337</v>
      </c>
      <c r="J207" s="71">
        <f t="shared" si="64"/>
        <v>1549</v>
      </c>
      <c r="K207" s="71">
        <f t="shared" si="64"/>
        <v>8950</v>
      </c>
      <c r="L207" s="71">
        <f t="shared" si="64"/>
        <v>7842</v>
      </c>
      <c r="M207" s="71">
        <f t="shared" si="64"/>
        <v>5989</v>
      </c>
      <c r="N207" s="71">
        <f t="shared" si="64"/>
        <v>726</v>
      </c>
      <c r="O207" s="71">
        <f t="shared" si="64"/>
        <v>1127</v>
      </c>
      <c r="P207" s="71">
        <f t="shared" si="64"/>
        <v>1108</v>
      </c>
      <c r="Q207" s="71">
        <f t="shared" si="64"/>
        <v>0</v>
      </c>
      <c r="R207" s="71">
        <f t="shared" si="64"/>
        <v>1108</v>
      </c>
      <c r="S207" s="71">
        <f t="shared" si="64"/>
        <v>0</v>
      </c>
      <c r="T207" s="21">
        <f t="shared" si="64"/>
        <v>1822</v>
      </c>
      <c r="U207" s="71">
        <f t="shared" si="64"/>
        <v>952</v>
      </c>
      <c r="V207" s="21">
        <f t="shared" si="64"/>
        <v>0</v>
      </c>
      <c r="W207" s="21">
        <f t="shared" si="64"/>
        <v>719</v>
      </c>
      <c r="X207" s="21">
        <f t="shared" si="64"/>
        <v>0</v>
      </c>
      <c r="Y207" s="21">
        <f t="shared" si="64"/>
        <v>0</v>
      </c>
      <c r="Z207" s="21">
        <f t="shared" si="64"/>
        <v>0</v>
      </c>
      <c r="AA207" s="21">
        <f t="shared" si="64"/>
        <v>233</v>
      </c>
      <c r="AB207" s="21">
        <f t="shared" si="64"/>
        <v>1978</v>
      </c>
      <c r="AC207" s="21">
        <f t="shared" si="64"/>
        <v>474</v>
      </c>
      <c r="AD207" s="21">
        <f t="shared" si="64"/>
        <v>1454</v>
      </c>
      <c r="AE207" s="21">
        <f t="shared" si="64"/>
        <v>50</v>
      </c>
      <c r="AF207" s="173">
        <f t="shared" si="64"/>
        <v>0</v>
      </c>
      <c r="AG207" s="173">
        <f t="shared" si="64"/>
        <v>10772</v>
      </c>
      <c r="AH207" s="177">
        <f t="shared" si="64"/>
        <v>8794</v>
      </c>
      <c r="AI207" s="177">
        <f t="shared" si="64"/>
        <v>6708</v>
      </c>
      <c r="AJ207" s="177">
        <f t="shared" si="64"/>
        <v>726</v>
      </c>
      <c r="AK207" s="177">
        <f t="shared" si="64"/>
        <v>1360</v>
      </c>
      <c r="AL207" s="177">
        <f t="shared" si="64"/>
        <v>1978</v>
      </c>
      <c r="AM207" s="177">
        <f t="shared" si="64"/>
        <v>474</v>
      </c>
      <c r="AN207" s="177">
        <f t="shared" si="64"/>
        <v>1454</v>
      </c>
      <c r="AO207" s="177">
        <f t="shared" si="64"/>
        <v>50</v>
      </c>
      <c r="AP207" s="166"/>
      <c r="AQ207" s="166"/>
      <c r="AR207" s="3"/>
      <c r="AS207" s="3"/>
      <c r="AT207" s="3"/>
      <c r="AU207" s="3"/>
      <c r="AV207" s="3"/>
      <c r="AW207" s="3"/>
      <c r="AX207" s="3"/>
      <c r="AY207" s="3"/>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row>
    <row r="208" spans="1:247" ht="74.25" customHeight="1" x14ac:dyDescent="0.3">
      <c r="A208" s="16">
        <v>1</v>
      </c>
      <c r="B208" s="24" t="s">
        <v>375</v>
      </c>
      <c r="C208" s="25" t="s">
        <v>361</v>
      </c>
      <c r="D208" s="25"/>
      <c r="E208" s="25"/>
      <c r="F208" s="25" t="s">
        <v>376</v>
      </c>
      <c r="G208" s="26">
        <f t="shared" ref="G208:G220" si="65">SUM(H208:J208)</f>
        <v>665</v>
      </c>
      <c r="H208" s="126">
        <v>600</v>
      </c>
      <c r="I208" s="126">
        <v>65</v>
      </c>
      <c r="J208" s="126"/>
      <c r="K208" s="28">
        <v>609</v>
      </c>
      <c r="L208" s="104">
        <f>M208+N208+O208</f>
        <v>590</v>
      </c>
      <c r="M208" s="28">
        <v>590</v>
      </c>
      <c r="N208" s="28"/>
      <c r="O208" s="28"/>
      <c r="P208" s="28">
        <f t="shared" ref="P208:P222" si="66">K208-L208</f>
        <v>19</v>
      </c>
      <c r="Q208" s="28"/>
      <c r="R208" s="28">
        <v>19</v>
      </c>
      <c r="S208" s="28"/>
      <c r="T208" s="26"/>
      <c r="U208" s="105"/>
      <c r="V208" s="29"/>
      <c r="W208" s="29"/>
      <c r="X208" s="29"/>
      <c r="Y208" s="29"/>
      <c r="Z208" s="29"/>
      <c r="AA208" s="29"/>
      <c r="AB208" s="105">
        <f t="shared" ref="AB208:AB220" si="67">(P208+T208)-U208</f>
        <v>19</v>
      </c>
      <c r="AC208" s="29"/>
      <c r="AD208" s="29">
        <v>19</v>
      </c>
      <c r="AE208" s="29"/>
      <c r="AF208" s="185"/>
      <c r="AG208" s="185">
        <v>609</v>
      </c>
      <c r="AH208" s="183">
        <f t="shared" ref="AH208:AH222" si="68">L208+U208</f>
        <v>590</v>
      </c>
      <c r="AI208" s="183">
        <v>590</v>
      </c>
      <c r="AJ208" s="183"/>
      <c r="AK208" s="183"/>
      <c r="AL208" s="183">
        <f t="shared" ref="AL208:AL222" si="69">AG208-AH208</f>
        <v>19</v>
      </c>
      <c r="AM208" s="183"/>
      <c r="AN208" s="183">
        <v>19</v>
      </c>
      <c r="AO208" s="183"/>
      <c r="AP208" s="166"/>
      <c r="AQ208" s="166"/>
      <c r="AR208" s="3"/>
      <c r="AS208" s="3"/>
      <c r="AT208" s="3"/>
      <c r="AU208" s="3"/>
      <c r="AV208" s="3"/>
      <c r="AW208" s="3"/>
      <c r="AX208" s="3"/>
      <c r="AY208" s="3"/>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row>
    <row r="209" spans="1:247" ht="74.25" customHeight="1" x14ac:dyDescent="0.3">
      <c r="A209" s="16">
        <v>2</v>
      </c>
      <c r="B209" s="24" t="s">
        <v>377</v>
      </c>
      <c r="C209" s="25" t="s">
        <v>361</v>
      </c>
      <c r="D209" s="25"/>
      <c r="E209" s="25"/>
      <c r="F209" s="25" t="s">
        <v>378</v>
      </c>
      <c r="G209" s="26">
        <f t="shared" si="65"/>
        <v>750</v>
      </c>
      <c r="H209" s="126">
        <v>635</v>
      </c>
      <c r="I209" s="126">
        <v>100</v>
      </c>
      <c r="J209" s="126">
        <v>15</v>
      </c>
      <c r="K209" s="28">
        <v>750</v>
      </c>
      <c r="L209" s="104">
        <f>M209+N209+O209</f>
        <v>635</v>
      </c>
      <c r="M209" s="28">
        <v>635</v>
      </c>
      <c r="N209" s="28"/>
      <c r="O209" s="28"/>
      <c r="P209" s="28">
        <f t="shared" si="66"/>
        <v>115</v>
      </c>
      <c r="Q209" s="28"/>
      <c r="R209" s="28">
        <v>115</v>
      </c>
      <c r="S209" s="28"/>
      <c r="T209" s="26"/>
      <c r="U209" s="105"/>
      <c r="V209" s="29"/>
      <c r="W209" s="29"/>
      <c r="X209" s="29"/>
      <c r="Y209" s="29"/>
      <c r="Z209" s="29"/>
      <c r="AA209" s="29"/>
      <c r="AB209" s="105">
        <f t="shared" si="67"/>
        <v>115</v>
      </c>
      <c r="AC209" s="29"/>
      <c r="AD209" s="29">
        <v>115</v>
      </c>
      <c r="AE209" s="29"/>
      <c r="AF209" s="185"/>
      <c r="AG209" s="185">
        <v>750</v>
      </c>
      <c r="AH209" s="183">
        <f t="shared" si="68"/>
        <v>635</v>
      </c>
      <c r="AI209" s="183">
        <v>635</v>
      </c>
      <c r="AJ209" s="183"/>
      <c r="AK209" s="183"/>
      <c r="AL209" s="183">
        <f t="shared" si="69"/>
        <v>115</v>
      </c>
      <c r="AM209" s="183"/>
      <c r="AN209" s="183">
        <v>115</v>
      </c>
      <c r="AO209" s="183"/>
      <c r="AP209" s="166"/>
      <c r="AQ209" s="166"/>
      <c r="AR209" s="3"/>
      <c r="AS209" s="3"/>
      <c r="AT209" s="3"/>
      <c r="AU209" s="3"/>
      <c r="AV209" s="3"/>
      <c r="AW209" s="3"/>
      <c r="AX209" s="3"/>
      <c r="AY209" s="3"/>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row>
    <row r="210" spans="1:247" ht="74.25" customHeight="1" x14ac:dyDescent="0.3">
      <c r="A210" s="16">
        <v>3</v>
      </c>
      <c r="B210" s="24" t="s">
        <v>379</v>
      </c>
      <c r="C210" s="25" t="s">
        <v>361</v>
      </c>
      <c r="D210" s="25"/>
      <c r="E210" s="25"/>
      <c r="F210" s="25" t="s">
        <v>380</v>
      </c>
      <c r="G210" s="26">
        <f t="shared" si="65"/>
        <v>220</v>
      </c>
      <c r="H210" s="126">
        <v>160</v>
      </c>
      <c r="I210" s="126">
        <v>50</v>
      </c>
      <c r="J210" s="126">
        <v>10</v>
      </c>
      <c r="K210" s="28">
        <v>220</v>
      </c>
      <c r="L210" s="104">
        <f>M210+N210+O210</f>
        <v>157</v>
      </c>
      <c r="M210" s="28">
        <v>157</v>
      </c>
      <c r="N210" s="28"/>
      <c r="O210" s="28"/>
      <c r="P210" s="28">
        <f t="shared" si="66"/>
        <v>63</v>
      </c>
      <c r="Q210" s="28"/>
      <c r="R210" s="28">
        <v>63</v>
      </c>
      <c r="S210" s="28"/>
      <c r="T210" s="26"/>
      <c r="U210" s="105"/>
      <c r="V210" s="29"/>
      <c r="W210" s="29"/>
      <c r="X210" s="29"/>
      <c r="Y210" s="29"/>
      <c r="Z210" s="29"/>
      <c r="AA210" s="29"/>
      <c r="AB210" s="105">
        <f t="shared" si="67"/>
        <v>63</v>
      </c>
      <c r="AC210" s="29"/>
      <c r="AD210" s="29">
        <v>63</v>
      </c>
      <c r="AE210" s="29"/>
      <c r="AF210" s="185"/>
      <c r="AG210" s="185">
        <v>220</v>
      </c>
      <c r="AH210" s="183">
        <f t="shared" si="68"/>
        <v>157</v>
      </c>
      <c r="AI210" s="183">
        <v>157</v>
      </c>
      <c r="AJ210" s="183"/>
      <c r="AK210" s="183"/>
      <c r="AL210" s="183">
        <f t="shared" si="69"/>
        <v>63</v>
      </c>
      <c r="AM210" s="183"/>
      <c r="AN210" s="183">
        <v>63</v>
      </c>
      <c r="AO210" s="183"/>
      <c r="AP210" s="166"/>
      <c r="AQ210" s="166"/>
      <c r="AR210" s="3"/>
      <c r="AS210" s="3"/>
      <c r="AT210" s="3"/>
      <c r="AU210" s="3"/>
      <c r="AV210" s="3"/>
      <c r="AW210" s="3"/>
      <c r="AX210" s="3"/>
      <c r="AY210" s="3"/>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row>
    <row r="211" spans="1:247" ht="74.25" customHeight="1" x14ac:dyDescent="0.3">
      <c r="A211" s="16">
        <v>4</v>
      </c>
      <c r="B211" s="24" t="s">
        <v>381</v>
      </c>
      <c r="C211" s="25" t="s">
        <v>361</v>
      </c>
      <c r="D211" s="25"/>
      <c r="E211" s="25"/>
      <c r="F211" s="25" t="s">
        <v>382</v>
      </c>
      <c r="G211" s="26">
        <f t="shared" si="65"/>
        <v>448</v>
      </c>
      <c r="H211" s="126">
        <v>351</v>
      </c>
      <c r="I211" s="126">
        <v>85</v>
      </c>
      <c r="J211" s="126">
        <v>12</v>
      </c>
      <c r="K211" s="28">
        <v>448</v>
      </c>
      <c r="L211" s="104">
        <f>M211+N211+O211</f>
        <v>351</v>
      </c>
      <c r="M211" s="28">
        <v>351</v>
      </c>
      <c r="N211" s="28"/>
      <c r="O211" s="28"/>
      <c r="P211" s="28">
        <f t="shared" si="66"/>
        <v>97</v>
      </c>
      <c r="Q211" s="28"/>
      <c r="R211" s="28">
        <v>97</v>
      </c>
      <c r="S211" s="28"/>
      <c r="T211" s="26"/>
      <c r="U211" s="105"/>
      <c r="V211" s="29"/>
      <c r="W211" s="29"/>
      <c r="X211" s="29"/>
      <c r="Y211" s="29"/>
      <c r="Z211" s="29"/>
      <c r="AA211" s="29"/>
      <c r="AB211" s="105">
        <f t="shared" si="67"/>
        <v>97</v>
      </c>
      <c r="AC211" s="29"/>
      <c r="AD211" s="29">
        <v>97</v>
      </c>
      <c r="AE211" s="29"/>
      <c r="AF211" s="185"/>
      <c r="AG211" s="185">
        <v>448</v>
      </c>
      <c r="AH211" s="183">
        <f t="shared" si="68"/>
        <v>351</v>
      </c>
      <c r="AI211" s="183">
        <v>351</v>
      </c>
      <c r="AJ211" s="183"/>
      <c r="AK211" s="183"/>
      <c r="AL211" s="183">
        <f t="shared" si="69"/>
        <v>97</v>
      </c>
      <c r="AM211" s="183"/>
      <c r="AN211" s="183">
        <v>97</v>
      </c>
      <c r="AO211" s="183"/>
      <c r="AP211" s="166"/>
      <c r="AQ211" s="166"/>
      <c r="AR211" s="3"/>
      <c r="AS211" s="3"/>
      <c r="AT211" s="3"/>
      <c r="AU211" s="3"/>
      <c r="AV211" s="3"/>
      <c r="AW211" s="3"/>
      <c r="AX211" s="3"/>
      <c r="AY211" s="3"/>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row>
    <row r="212" spans="1:247" ht="74.25" customHeight="1" x14ac:dyDescent="0.3">
      <c r="A212" s="16">
        <v>5</v>
      </c>
      <c r="B212" s="24" t="s">
        <v>383</v>
      </c>
      <c r="C212" s="25" t="s">
        <v>361</v>
      </c>
      <c r="D212" s="25"/>
      <c r="E212" s="25"/>
      <c r="F212" s="25" t="s">
        <v>384</v>
      </c>
      <c r="G212" s="26">
        <f t="shared" si="65"/>
        <v>240</v>
      </c>
      <c r="H212" s="126">
        <v>130</v>
      </c>
      <c r="I212" s="126">
        <v>100</v>
      </c>
      <c r="J212" s="126">
        <v>10</v>
      </c>
      <c r="K212" s="28">
        <v>220</v>
      </c>
      <c r="L212" s="104">
        <f t="shared" ref="L212:L222" si="70">M212+N212+O212</f>
        <v>200</v>
      </c>
      <c r="M212" s="28">
        <v>130</v>
      </c>
      <c r="N212" s="28">
        <v>70</v>
      </c>
      <c r="O212" s="28"/>
      <c r="P212" s="28">
        <f t="shared" si="66"/>
        <v>20</v>
      </c>
      <c r="Q212" s="28"/>
      <c r="R212" s="28">
        <v>20</v>
      </c>
      <c r="S212" s="28"/>
      <c r="T212" s="26"/>
      <c r="U212" s="105"/>
      <c r="V212" s="29"/>
      <c r="W212" s="29"/>
      <c r="X212" s="29"/>
      <c r="Y212" s="29"/>
      <c r="Z212" s="29"/>
      <c r="AA212" s="29"/>
      <c r="AB212" s="105">
        <f t="shared" si="67"/>
        <v>20</v>
      </c>
      <c r="AC212" s="29"/>
      <c r="AD212" s="29">
        <v>20</v>
      </c>
      <c r="AE212" s="29"/>
      <c r="AF212" s="185"/>
      <c r="AG212" s="185">
        <v>220</v>
      </c>
      <c r="AH212" s="183">
        <f t="shared" si="68"/>
        <v>200</v>
      </c>
      <c r="AI212" s="183">
        <v>130</v>
      </c>
      <c r="AJ212" s="183">
        <v>70</v>
      </c>
      <c r="AK212" s="183"/>
      <c r="AL212" s="183">
        <f t="shared" si="69"/>
        <v>20</v>
      </c>
      <c r="AM212" s="183"/>
      <c r="AN212" s="183">
        <v>20</v>
      </c>
      <c r="AO212" s="183"/>
      <c r="AP212" s="166"/>
      <c r="AQ212" s="166"/>
      <c r="AR212" s="3"/>
      <c r="AS212" s="3"/>
      <c r="AT212" s="3"/>
      <c r="AU212" s="3"/>
      <c r="AV212" s="3"/>
      <c r="AW212" s="3"/>
      <c r="AX212" s="3"/>
      <c r="AY212" s="3"/>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row>
    <row r="213" spans="1:247" ht="74.25" customHeight="1" x14ac:dyDescent="0.3">
      <c r="A213" s="16">
        <v>6</v>
      </c>
      <c r="B213" s="24" t="s">
        <v>385</v>
      </c>
      <c r="C213" s="25" t="s">
        <v>361</v>
      </c>
      <c r="D213" s="25"/>
      <c r="E213" s="25"/>
      <c r="F213" s="25" t="s">
        <v>386</v>
      </c>
      <c r="G213" s="26">
        <f t="shared" si="65"/>
        <v>370</v>
      </c>
      <c r="H213" s="126">
        <v>225</v>
      </c>
      <c r="I213" s="126">
        <v>120</v>
      </c>
      <c r="J213" s="126">
        <v>25</v>
      </c>
      <c r="K213" s="28">
        <v>343</v>
      </c>
      <c r="L213" s="104">
        <f t="shared" si="70"/>
        <v>292</v>
      </c>
      <c r="M213" s="28">
        <v>225</v>
      </c>
      <c r="N213" s="28">
        <v>60</v>
      </c>
      <c r="O213" s="28">
        <v>7</v>
      </c>
      <c r="P213" s="28">
        <f t="shared" si="66"/>
        <v>51</v>
      </c>
      <c r="Q213" s="28"/>
      <c r="R213" s="28">
        <v>51</v>
      </c>
      <c r="S213" s="28"/>
      <c r="T213" s="26"/>
      <c r="U213" s="105"/>
      <c r="V213" s="29"/>
      <c r="W213" s="29"/>
      <c r="X213" s="29"/>
      <c r="Y213" s="29"/>
      <c r="Z213" s="29"/>
      <c r="AA213" s="29"/>
      <c r="AB213" s="105">
        <f t="shared" si="67"/>
        <v>51</v>
      </c>
      <c r="AC213" s="29"/>
      <c r="AD213" s="29">
        <v>51</v>
      </c>
      <c r="AE213" s="29"/>
      <c r="AF213" s="185"/>
      <c r="AG213" s="185">
        <v>343</v>
      </c>
      <c r="AH213" s="183">
        <f t="shared" si="68"/>
        <v>292</v>
      </c>
      <c r="AI213" s="183">
        <v>225</v>
      </c>
      <c r="AJ213" s="183">
        <v>60</v>
      </c>
      <c r="AK213" s="183">
        <v>7</v>
      </c>
      <c r="AL213" s="183">
        <f t="shared" si="69"/>
        <v>51</v>
      </c>
      <c r="AM213" s="183"/>
      <c r="AN213" s="183">
        <v>51</v>
      </c>
      <c r="AO213" s="183"/>
      <c r="AP213" s="166"/>
      <c r="AQ213" s="166"/>
      <c r="AR213" s="3"/>
      <c r="AS213" s="3"/>
      <c r="AT213" s="3"/>
      <c r="AU213" s="3"/>
      <c r="AV213" s="3"/>
      <c r="AW213" s="3"/>
      <c r="AX213" s="3"/>
      <c r="AY213" s="3"/>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row>
    <row r="214" spans="1:247" ht="74.25" customHeight="1" x14ac:dyDescent="0.3">
      <c r="A214" s="16">
        <v>7</v>
      </c>
      <c r="B214" s="24" t="s">
        <v>387</v>
      </c>
      <c r="C214" s="25" t="s">
        <v>361</v>
      </c>
      <c r="D214" s="25"/>
      <c r="E214" s="25"/>
      <c r="F214" s="25" t="s">
        <v>388</v>
      </c>
      <c r="G214" s="26">
        <f t="shared" si="65"/>
        <v>1015</v>
      </c>
      <c r="H214" s="126">
        <v>675</v>
      </c>
      <c r="I214" s="126">
        <v>330</v>
      </c>
      <c r="J214" s="126">
        <v>10</v>
      </c>
      <c r="K214" s="28">
        <v>956</v>
      </c>
      <c r="L214" s="104">
        <f t="shared" si="70"/>
        <v>825</v>
      </c>
      <c r="M214" s="28">
        <v>675</v>
      </c>
      <c r="N214" s="28">
        <v>150</v>
      </c>
      <c r="O214" s="28"/>
      <c r="P214" s="28">
        <f t="shared" si="66"/>
        <v>131</v>
      </c>
      <c r="Q214" s="28"/>
      <c r="R214" s="28">
        <v>131</v>
      </c>
      <c r="S214" s="28"/>
      <c r="T214" s="26"/>
      <c r="U214" s="105"/>
      <c r="V214" s="29"/>
      <c r="W214" s="29"/>
      <c r="X214" s="29"/>
      <c r="Y214" s="29"/>
      <c r="Z214" s="29"/>
      <c r="AA214" s="29"/>
      <c r="AB214" s="105">
        <f t="shared" si="67"/>
        <v>131</v>
      </c>
      <c r="AC214" s="29"/>
      <c r="AD214" s="29">
        <v>131</v>
      </c>
      <c r="AE214" s="29"/>
      <c r="AF214" s="185"/>
      <c r="AG214" s="185">
        <v>956</v>
      </c>
      <c r="AH214" s="183">
        <f t="shared" si="68"/>
        <v>825</v>
      </c>
      <c r="AI214" s="183">
        <v>675</v>
      </c>
      <c r="AJ214" s="183">
        <v>150</v>
      </c>
      <c r="AK214" s="183"/>
      <c r="AL214" s="183">
        <f t="shared" si="69"/>
        <v>131</v>
      </c>
      <c r="AM214" s="183"/>
      <c r="AN214" s="183">
        <v>131</v>
      </c>
      <c r="AO214" s="183"/>
      <c r="AP214" s="166"/>
      <c r="AQ214" s="166"/>
      <c r="AR214" s="3"/>
      <c r="AS214" s="3"/>
      <c r="AT214" s="3"/>
      <c r="AU214" s="3"/>
      <c r="AV214" s="3"/>
      <c r="AW214" s="3"/>
      <c r="AX214" s="3"/>
      <c r="AY214" s="3"/>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row>
    <row r="215" spans="1:247" ht="74.25" customHeight="1" x14ac:dyDescent="0.3">
      <c r="A215" s="16">
        <v>8</v>
      </c>
      <c r="B215" s="24" t="s">
        <v>389</v>
      </c>
      <c r="C215" s="25" t="s">
        <v>361</v>
      </c>
      <c r="D215" s="25"/>
      <c r="E215" s="25"/>
      <c r="F215" s="25" t="s">
        <v>390</v>
      </c>
      <c r="G215" s="26">
        <f t="shared" si="65"/>
        <v>967</v>
      </c>
      <c r="H215" s="126">
        <v>540</v>
      </c>
      <c r="I215" s="126">
        <v>323</v>
      </c>
      <c r="J215" s="126">
        <v>104</v>
      </c>
      <c r="K215" s="28">
        <v>895</v>
      </c>
      <c r="L215" s="104">
        <f t="shared" si="70"/>
        <v>747</v>
      </c>
      <c r="M215" s="28">
        <v>540</v>
      </c>
      <c r="N215" s="28">
        <v>150</v>
      </c>
      <c r="O215" s="28">
        <v>57</v>
      </c>
      <c r="P215" s="28">
        <f t="shared" si="66"/>
        <v>148</v>
      </c>
      <c r="Q215" s="28"/>
      <c r="R215" s="28">
        <v>148</v>
      </c>
      <c r="S215" s="28"/>
      <c r="T215" s="26"/>
      <c r="U215" s="105"/>
      <c r="V215" s="29"/>
      <c r="W215" s="29"/>
      <c r="X215" s="29"/>
      <c r="Y215" s="29"/>
      <c r="Z215" s="29"/>
      <c r="AA215" s="29"/>
      <c r="AB215" s="105">
        <f t="shared" si="67"/>
        <v>148</v>
      </c>
      <c r="AC215" s="29"/>
      <c r="AD215" s="29">
        <v>148</v>
      </c>
      <c r="AE215" s="29"/>
      <c r="AF215" s="185"/>
      <c r="AG215" s="185">
        <v>895</v>
      </c>
      <c r="AH215" s="183">
        <f t="shared" si="68"/>
        <v>747</v>
      </c>
      <c r="AI215" s="183">
        <v>540</v>
      </c>
      <c r="AJ215" s="183">
        <v>150</v>
      </c>
      <c r="AK215" s="183">
        <v>57</v>
      </c>
      <c r="AL215" s="183">
        <f t="shared" si="69"/>
        <v>148</v>
      </c>
      <c r="AM215" s="183"/>
      <c r="AN215" s="183">
        <v>148</v>
      </c>
      <c r="AO215" s="183"/>
      <c r="AP215" s="166"/>
      <c r="AQ215" s="166"/>
      <c r="AR215" s="3"/>
      <c r="AS215" s="3"/>
      <c r="AT215" s="3"/>
      <c r="AU215" s="3"/>
      <c r="AV215" s="3"/>
      <c r="AW215" s="3"/>
      <c r="AX215" s="3"/>
      <c r="AY215" s="3"/>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row>
    <row r="216" spans="1:247" ht="74.25" customHeight="1" x14ac:dyDescent="0.3">
      <c r="A216" s="16">
        <v>9</v>
      </c>
      <c r="B216" s="24" t="s">
        <v>391</v>
      </c>
      <c r="C216" s="25" t="s">
        <v>361</v>
      </c>
      <c r="D216" s="25"/>
      <c r="E216" s="25"/>
      <c r="F216" s="25" t="s">
        <v>392</v>
      </c>
      <c r="G216" s="26">
        <f t="shared" si="65"/>
        <v>514</v>
      </c>
      <c r="H216" s="126">
        <v>280</v>
      </c>
      <c r="I216" s="126">
        <v>225</v>
      </c>
      <c r="J216" s="126">
        <v>9</v>
      </c>
      <c r="K216" s="28">
        <v>472</v>
      </c>
      <c r="L216" s="104">
        <f t="shared" si="70"/>
        <v>385</v>
      </c>
      <c r="M216" s="28">
        <v>280</v>
      </c>
      <c r="N216" s="28">
        <v>105</v>
      </c>
      <c r="O216" s="28"/>
      <c r="P216" s="28">
        <f t="shared" si="66"/>
        <v>87</v>
      </c>
      <c r="Q216" s="28"/>
      <c r="R216" s="28">
        <v>87</v>
      </c>
      <c r="S216" s="28"/>
      <c r="T216" s="26"/>
      <c r="U216" s="105"/>
      <c r="V216" s="29"/>
      <c r="W216" s="29"/>
      <c r="X216" s="29"/>
      <c r="Y216" s="29"/>
      <c r="Z216" s="29"/>
      <c r="AA216" s="29"/>
      <c r="AB216" s="105">
        <f t="shared" si="67"/>
        <v>87</v>
      </c>
      <c r="AC216" s="29"/>
      <c r="AD216" s="29">
        <v>87</v>
      </c>
      <c r="AE216" s="29"/>
      <c r="AF216" s="185"/>
      <c r="AG216" s="185">
        <v>472</v>
      </c>
      <c r="AH216" s="183">
        <f t="shared" si="68"/>
        <v>385</v>
      </c>
      <c r="AI216" s="183">
        <v>280</v>
      </c>
      <c r="AJ216" s="183">
        <v>105</v>
      </c>
      <c r="AK216" s="183"/>
      <c r="AL216" s="183">
        <f t="shared" si="69"/>
        <v>87</v>
      </c>
      <c r="AM216" s="183"/>
      <c r="AN216" s="183">
        <v>87</v>
      </c>
      <c r="AO216" s="183"/>
      <c r="AP216" s="166"/>
      <c r="AQ216" s="166"/>
      <c r="AR216" s="3"/>
      <c r="AS216" s="3"/>
      <c r="AT216" s="3"/>
      <c r="AU216" s="3"/>
      <c r="AV216" s="3"/>
      <c r="AW216" s="3"/>
      <c r="AX216" s="3"/>
      <c r="AY216" s="3"/>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row>
    <row r="217" spans="1:247" ht="74.25" customHeight="1" x14ac:dyDescent="0.3">
      <c r="A217" s="16">
        <v>10</v>
      </c>
      <c r="B217" s="24" t="s">
        <v>393</v>
      </c>
      <c r="C217" s="25" t="s">
        <v>361</v>
      </c>
      <c r="D217" s="25"/>
      <c r="E217" s="25"/>
      <c r="F217" s="25" t="s">
        <v>394</v>
      </c>
      <c r="G217" s="26">
        <f t="shared" si="65"/>
        <v>322</v>
      </c>
      <c r="H217" s="126">
        <v>265</v>
      </c>
      <c r="I217" s="126">
        <v>57</v>
      </c>
      <c r="J217" s="126"/>
      <c r="K217" s="28">
        <v>303</v>
      </c>
      <c r="L217" s="104">
        <f t="shared" si="70"/>
        <v>294</v>
      </c>
      <c r="M217" s="28">
        <v>265</v>
      </c>
      <c r="N217" s="28">
        <v>29</v>
      </c>
      <c r="O217" s="28"/>
      <c r="P217" s="28">
        <f t="shared" si="66"/>
        <v>9</v>
      </c>
      <c r="Q217" s="28"/>
      <c r="R217" s="28">
        <v>9</v>
      </c>
      <c r="S217" s="28"/>
      <c r="T217" s="26"/>
      <c r="U217" s="105"/>
      <c r="V217" s="29"/>
      <c r="W217" s="29"/>
      <c r="X217" s="29"/>
      <c r="Y217" s="29"/>
      <c r="Z217" s="29"/>
      <c r="AA217" s="29"/>
      <c r="AB217" s="105">
        <f t="shared" si="67"/>
        <v>9</v>
      </c>
      <c r="AC217" s="29"/>
      <c r="AD217" s="29">
        <v>9</v>
      </c>
      <c r="AE217" s="29"/>
      <c r="AF217" s="185"/>
      <c r="AG217" s="185">
        <v>303</v>
      </c>
      <c r="AH217" s="183">
        <f t="shared" si="68"/>
        <v>294</v>
      </c>
      <c r="AI217" s="183">
        <v>265</v>
      </c>
      <c r="AJ217" s="183">
        <v>29</v>
      </c>
      <c r="AK217" s="183"/>
      <c r="AL217" s="183">
        <f t="shared" si="69"/>
        <v>9</v>
      </c>
      <c r="AM217" s="183"/>
      <c r="AN217" s="183">
        <v>9</v>
      </c>
      <c r="AO217" s="183"/>
      <c r="AP217" s="166"/>
      <c r="AQ217" s="166"/>
      <c r="AR217" s="3"/>
      <c r="AS217" s="3"/>
      <c r="AT217" s="3"/>
      <c r="AU217" s="3"/>
      <c r="AV217" s="3"/>
      <c r="AW217" s="3"/>
      <c r="AX217" s="3"/>
      <c r="AY217" s="3"/>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row>
    <row r="218" spans="1:247" ht="74.25" customHeight="1" x14ac:dyDescent="0.3">
      <c r="A218" s="16">
        <v>11</v>
      </c>
      <c r="B218" s="24" t="s">
        <v>395</v>
      </c>
      <c r="C218" s="25" t="s">
        <v>361</v>
      </c>
      <c r="D218" s="25"/>
      <c r="E218" s="25"/>
      <c r="F218" s="25" t="s">
        <v>396</v>
      </c>
      <c r="G218" s="26">
        <f t="shared" si="65"/>
        <v>265</v>
      </c>
      <c r="H218" s="126">
        <v>190</v>
      </c>
      <c r="I218" s="126">
        <v>75</v>
      </c>
      <c r="J218" s="126"/>
      <c r="K218" s="28">
        <v>265</v>
      </c>
      <c r="L218" s="104">
        <f t="shared" si="70"/>
        <v>190</v>
      </c>
      <c r="M218" s="28">
        <v>190</v>
      </c>
      <c r="N218" s="28"/>
      <c r="O218" s="28"/>
      <c r="P218" s="28">
        <f t="shared" si="66"/>
        <v>75</v>
      </c>
      <c r="Q218" s="28"/>
      <c r="R218" s="28">
        <v>75</v>
      </c>
      <c r="S218" s="28"/>
      <c r="T218" s="26"/>
      <c r="U218" s="105"/>
      <c r="V218" s="29"/>
      <c r="W218" s="29"/>
      <c r="X218" s="29"/>
      <c r="Y218" s="29"/>
      <c r="Z218" s="29"/>
      <c r="AA218" s="29"/>
      <c r="AB218" s="105">
        <f t="shared" si="67"/>
        <v>75</v>
      </c>
      <c r="AC218" s="29"/>
      <c r="AD218" s="29">
        <v>75</v>
      </c>
      <c r="AE218" s="29"/>
      <c r="AF218" s="185"/>
      <c r="AG218" s="185">
        <v>265</v>
      </c>
      <c r="AH218" s="183">
        <f t="shared" si="68"/>
        <v>190</v>
      </c>
      <c r="AI218" s="183">
        <v>190</v>
      </c>
      <c r="AJ218" s="183"/>
      <c r="AK218" s="183"/>
      <c r="AL218" s="183">
        <f t="shared" si="69"/>
        <v>75</v>
      </c>
      <c r="AM218" s="183"/>
      <c r="AN218" s="183">
        <v>75</v>
      </c>
      <c r="AO218" s="183"/>
      <c r="AP218" s="166"/>
      <c r="AQ218" s="166"/>
      <c r="AR218" s="3"/>
      <c r="AS218" s="3"/>
      <c r="AT218" s="3"/>
      <c r="AU218" s="3"/>
      <c r="AV218" s="3"/>
      <c r="AW218" s="3"/>
      <c r="AX218" s="3"/>
      <c r="AY218" s="3"/>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row>
    <row r="219" spans="1:247" ht="74.25" customHeight="1" x14ac:dyDescent="0.3">
      <c r="A219" s="16">
        <v>12</v>
      </c>
      <c r="B219" s="24" t="s">
        <v>397</v>
      </c>
      <c r="C219" s="25" t="s">
        <v>361</v>
      </c>
      <c r="D219" s="25"/>
      <c r="E219" s="25"/>
      <c r="F219" s="25" t="s">
        <v>398</v>
      </c>
      <c r="G219" s="26">
        <f t="shared" si="65"/>
        <v>366</v>
      </c>
      <c r="H219" s="126">
        <v>240</v>
      </c>
      <c r="I219" s="126">
        <v>105</v>
      </c>
      <c r="J219" s="126">
        <v>21</v>
      </c>
      <c r="K219" s="28">
        <v>349</v>
      </c>
      <c r="L219" s="104">
        <f t="shared" si="70"/>
        <v>253</v>
      </c>
      <c r="M219" s="28">
        <v>240</v>
      </c>
      <c r="N219" s="28"/>
      <c r="O219" s="28">
        <v>13</v>
      </c>
      <c r="P219" s="28">
        <f t="shared" si="66"/>
        <v>96</v>
      </c>
      <c r="Q219" s="28"/>
      <c r="R219" s="28">
        <v>96</v>
      </c>
      <c r="S219" s="28"/>
      <c r="T219" s="26"/>
      <c r="U219" s="105"/>
      <c r="V219" s="29"/>
      <c r="W219" s="29"/>
      <c r="X219" s="29"/>
      <c r="Y219" s="29"/>
      <c r="Z219" s="29"/>
      <c r="AA219" s="29"/>
      <c r="AB219" s="105">
        <f t="shared" si="67"/>
        <v>96</v>
      </c>
      <c r="AC219" s="29"/>
      <c r="AD219" s="29">
        <v>96</v>
      </c>
      <c r="AE219" s="29"/>
      <c r="AF219" s="185"/>
      <c r="AG219" s="185">
        <v>349</v>
      </c>
      <c r="AH219" s="183">
        <f t="shared" si="68"/>
        <v>253</v>
      </c>
      <c r="AI219" s="183">
        <v>240</v>
      </c>
      <c r="AJ219" s="183"/>
      <c r="AK219" s="183">
        <v>13</v>
      </c>
      <c r="AL219" s="183">
        <f t="shared" si="69"/>
        <v>96</v>
      </c>
      <c r="AM219" s="183"/>
      <c r="AN219" s="183">
        <v>96</v>
      </c>
      <c r="AO219" s="183"/>
      <c r="AP219" s="166"/>
      <c r="AQ219" s="166"/>
      <c r="AR219" s="3"/>
      <c r="AS219" s="3"/>
      <c r="AT219" s="3"/>
      <c r="AU219" s="3"/>
      <c r="AV219" s="3"/>
      <c r="AW219" s="3"/>
      <c r="AX219" s="3"/>
      <c r="AY219" s="3"/>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row>
    <row r="220" spans="1:247" ht="74.25" customHeight="1" x14ac:dyDescent="0.3">
      <c r="A220" s="16">
        <v>13</v>
      </c>
      <c r="B220" s="24" t="s">
        <v>399</v>
      </c>
      <c r="C220" s="25" t="s">
        <v>361</v>
      </c>
      <c r="D220" s="25"/>
      <c r="E220" s="25"/>
      <c r="F220" s="25" t="s">
        <v>400</v>
      </c>
      <c r="G220" s="26">
        <f t="shared" si="65"/>
        <v>342</v>
      </c>
      <c r="H220" s="126">
        <v>140</v>
      </c>
      <c r="I220" s="126">
        <v>202</v>
      </c>
      <c r="J220" s="126"/>
      <c r="K220" s="28">
        <v>342</v>
      </c>
      <c r="L220" s="104">
        <f t="shared" si="70"/>
        <v>299</v>
      </c>
      <c r="M220" s="28">
        <v>137</v>
      </c>
      <c r="N220" s="28">
        <v>162</v>
      </c>
      <c r="O220" s="28"/>
      <c r="P220" s="28">
        <f t="shared" si="66"/>
        <v>43</v>
      </c>
      <c r="Q220" s="28"/>
      <c r="R220" s="28">
        <v>43</v>
      </c>
      <c r="S220" s="28"/>
      <c r="T220" s="26"/>
      <c r="U220" s="105"/>
      <c r="V220" s="29"/>
      <c r="W220" s="29"/>
      <c r="X220" s="29"/>
      <c r="Y220" s="29"/>
      <c r="Z220" s="29"/>
      <c r="AA220" s="29"/>
      <c r="AB220" s="105">
        <f t="shared" si="67"/>
        <v>43</v>
      </c>
      <c r="AC220" s="29"/>
      <c r="AD220" s="29">
        <v>43</v>
      </c>
      <c r="AE220" s="29"/>
      <c r="AF220" s="185"/>
      <c r="AG220" s="185">
        <v>342</v>
      </c>
      <c r="AH220" s="183">
        <f t="shared" si="68"/>
        <v>299</v>
      </c>
      <c r="AI220" s="183">
        <v>137</v>
      </c>
      <c r="AJ220" s="183">
        <v>162</v>
      </c>
      <c r="AK220" s="183"/>
      <c r="AL220" s="183">
        <f t="shared" si="69"/>
        <v>43</v>
      </c>
      <c r="AM220" s="183"/>
      <c r="AN220" s="183">
        <v>43</v>
      </c>
      <c r="AO220" s="183"/>
      <c r="AP220" s="166"/>
      <c r="AQ220" s="166"/>
      <c r="AR220" s="3"/>
      <c r="AS220" s="3"/>
      <c r="AT220" s="3"/>
      <c r="AU220" s="3"/>
      <c r="AV220" s="3"/>
      <c r="AW220" s="3"/>
      <c r="AX220" s="3"/>
      <c r="AY220" s="3"/>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row>
    <row r="221" spans="1:247" ht="74.25" customHeight="1" x14ac:dyDescent="0.3">
      <c r="A221" s="16">
        <v>14</v>
      </c>
      <c r="B221" s="24" t="s">
        <v>401</v>
      </c>
      <c r="C221" s="25" t="s">
        <v>402</v>
      </c>
      <c r="D221" s="25"/>
      <c r="E221" s="25"/>
      <c r="F221" s="25"/>
      <c r="G221" s="26">
        <f>SUM(H221:J221)</f>
        <v>3000</v>
      </c>
      <c r="H221" s="126">
        <v>1767</v>
      </c>
      <c r="I221" s="126">
        <v>400</v>
      </c>
      <c r="J221" s="126">
        <v>833</v>
      </c>
      <c r="K221" s="28">
        <v>2128</v>
      </c>
      <c r="L221" s="104">
        <f t="shared" si="70"/>
        <v>1974</v>
      </c>
      <c r="M221" s="28">
        <v>1274</v>
      </c>
      <c r="N221" s="28"/>
      <c r="O221" s="28">
        <v>700</v>
      </c>
      <c r="P221" s="28">
        <f t="shared" si="66"/>
        <v>154</v>
      </c>
      <c r="Q221" s="28"/>
      <c r="R221" s="28">
        <v>154</v>
      </c>
      <c r="S221" s="28"/>
      <c r="T221" s="26">
        <v>872</v>
      </c>
      <c r="U221" s="105">
        <f>V221+W221+X221+Y221+Z221+AA221</f>
        <v>626</v>
      </c>
      <c r="V221" s="29"/>
      <c r="W221" s="29">
        <v>493</v>
      </c>
      <c r="X221" s="29"/>
      <c r="Y221" s="29"/>
      <c r="Z221" s="29"/>
      <c r="AA221" s="29">
        <v>133</v>
      </c>
      <c r="AB221" s="105">
        <f>(P221+T221)-U221</f>
        <v>400</v>
      </c>
      <c r="AC221" s="29"/>
      <c r="AD221" s="29">
        <v>400</v>
      </c>
      <c r="AE221" s="29"/>
      <c r="AF221" s="185"/>
      <c r="AG221" s="185">
        <v>3000</v>
      </c>
      <c r="AH221" s="183">
        <f t="shared" si="68"/>
        <v>2600</v>
      </c>
      <c r="AI221" s="183">
        <f>M221+V221+W221</f>
        <v>1767</v>
      </c>
      <c r="AJ221" s="183">
        <f>N221+X221+Y221</f>
        <v>0</v>
      </c>
      <c r="AK221" s="183">
        <f>O221+Z221+AA221</f>
        <v>833</v>
      </c>
      <c r="AL221" s="183">
        <f t="shared" si="69"/>
        <v>400</v>
      </c>
      <c r="AM221" s="183"/>
      <c r="AN221" s="183">
        <v>400</v>
      </c>
      <c r="AO221" s="183"/>
      <c r="AP221" s="166"/>
      <c r="AQ221" s="166"/>
      <c r="AR221" s="3"/>
      <c r="AS221" s="3"/>
      <c r="AT221" s="3"/>
      <c r="AU221" s="3"/>
      <c r="AV221" s="3"/>
      <c r="AW221" s="3"/>
      <c r="AX221" s="3"/>
      <c r="AY221" s="3"/>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row>
    <row r="222" spans="1:247" ht="74.25" customHeight="1" x14ac:dyDescent="0.3">
      <c r="A222" s="16">
        <v>15</v>
      </c>
      <c r="B222" s="24" t="s">
        <v>403</v>
      </c>
      <c r="C222" s="25" t="s">
        <v>402</v>
      </c>
      <c r="D222" s="25"/>
      <c r="E222" s="25"/>
      <c r="F222" s="25"/>
      <c r="G222" s="26">
        <f>SUM(H222:J222)</f>
        <v>1600</v>
      </c>
      <c r="H222" s="126">
        <v>1000</v>
      </c>
      <c r="I222" s="126">
        <v>100</v>
      </c>
      <c r="J222" s="126">
        <v>500</v>
      </c>
      <c r="K222" s="28">
        <v>650</v>
      </c>
      <c r="L222" s="104">
        <f t="shared" si="70"/>
        <v>650</v>
      </c>
      <c r="M222" s="28">
        <v>300</v>
      </c>
      <c r="N222" s="28"/>
      <c r="O222" s="28">
        <v>350</v>
      </c>
      <c r="P222" s="28">
        <f t="shared" si="66"/>
        <v>0</v>
      </c>
      <c r="Q222" s="28"/>
      <c r="R222" s="28"/>
      <c r="S222" s="28"/>
      <c r="T222" s="26">
        <v>950</v>
      </c>
      <c r="U222" s="105">
        <f>V222+W222+X222+Y222+Z222+AA222</f>
        <v>326</v>
      </c>
      <c r="V222" s="29"/>
      <c r="W222" s="29">
        <v>226</v>
      </c>
      <c r="X222" s="29"/>
      <c r="Y222" s="29"/>
      <c r="Z222" s="29"/>
      <c r="AA222" s="29">
        <v>100</v>
      </c>
      <c r="AB222" s="105">
        <f>(P222+T222)-U222</f>
        <v>624</v>
      </c>
      <c r="AC222" s="29">
        <v>474</v>
      </c>
      <c r="AD222" s="29">
        <v>100</v>
      </c>
      <c r="AE222" s="29">
        <v>50</v>
      </c>
      <c r="AF222" s="185"/>
      <c r="AG222" s="185">
        <v>1600</v>
      </c>
      <c r="AH222" s="183">
        <f t="shared" si="68"/>
        <v>976</v>
      </c>
      <c r="AI222" s="183">
        <f>M222+V222+W222</f>
        <v>526</v>
      </c>
      <c r="AJ222" s="183">
        <f>N222+X222+Y222</f>
        <v>0</v>
      </c>
      <c r="AK222" s="183">
        <f>O222+Z222+AA222</f>
        <v>450</v>
      </c>
      <c r="AL222" s="183">
        <f t="shared" si="69"/>
        <v>624</v>
      </c>
      <c r="AM222" s="183">
        <v>474</v>
      </c>
      <c r="AN222" s="183">
        <v>100</v>
      </c>
      <c r="AO222" s="183">
        <v>50</v>
      </c>
      <c r="AP222" s="166"/>
      <c r="AQ222" s="166"/>
      <c r="AR222" s="3"/>
      <c r="AS222" s="3"/>
      <c r="AT222" s="3"/>
      <c r="AU222" s="3"/>
      <c r="AV222" s="3"/>
      <c r="AW222" s="3"/>
      <c r="AX222" s="3"/>
      <c r="AY222" s="3"/>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row>
    <row r="223" spans="1:247" ht="18" customHeight="1" x14ac:dyDescent="0.3">
      <c r="A223" s="16">
        <v>8</v>
      </c>
      <c r="B223" s="70" t="s">
        <v>404</v>
      </c>
      <c r="C223" s="20"/>
      <c r="D223" s="20"/>
      <c r="E223" s="20"/>
      <c r="F223" s="20"/>
      <c r="G223" s="71">
        <f>G224+G231</f>
        <v>16590</v>
      </c>
      <c r="H223" s="71">
        <f t="shared" ref="H223:AO223" si="71">H224+H231</f>
        <v>1682</v>
      </c>
      <c r="I223" s="71">
        <f t="shared" si="71"/>
        <v>12890</v>
      </c>
      <c r="J223" s="71">
        <f t="shared" si="71"/>
        <v>2018</v>
      </c>
      <c r="K223" s="71">
        <f t="shared" si="71"/>
        <v>10493</v>
      </c>
      <c r="L223" s="71">
        <f t="shared" si="71"/>
        <v>5969</v>
      </c>
      <c r="M223" s="71">
        <f t="shared" si="71"/>
        <v>689</v>
      </c>
      <c r="N223" s="71">
        <f t="shared" si="71"/>
        <v>5280</v>
      </c>
      <c r="O223" s="71">
        <f t="shared" si="71"/>
        <v>0</v>
      </c>
      <c r="P223" s="71">
        <f t="shared" si="71"/>
        <v>5213</v>
      </c>
      <c r="Q223" s="71">
        <f t="shared" si="71"/>
        <v>0</v>
      </c>
      <c r="R223" s="71">
        <f t="shared" si="71"/>
        <v>4016.5921140565829</v>
      </c>
      <c r="S223" s="71">
        <f t="shared" si="71"/>
        <v>1196.4078859434171</v>
      </c>
      <c r="T223" s="71">
        <f t="shared" si="71"/>
        <v>0</v>
      </c>
      <c r="U223" s="71">
        <f t="shared" si="71"/>
        <v>3185</v>
      </c>
      <c r="V223" s="71">
        <f t="shared" si="71"/>
        <v>0</v>
      </c>
      <c r="W223" s="71">
        <f t="shared" si="71"/>
        <v>654</v>
      </c>
      <c r="X223" s="71">
        <f t="shared" si="71"/>
        <v>2289</v>
      </c>
      <c r="Y223" s="71">
        <f t="shared" si="71"/>
        <v>242</v>
      </c>
      <c r="Z223" s="71">
        <f t="shared" si="71"/>
        <v>0</v>
      </c>
      <c r="AA223" s="71">
        <f t="shared" si="71"/>
        <v>0</v>
      </c>
      <c r="AB223" s="71">
        <f t="shared" si="71"/>
        <v>2924</v>
      </c>
      <c r="AC223" s="71">
        <f t="shared" si="71"/>
        <v>0</v>
      </c>
      <c r="AD223" s="71">
        <f t="shared" si="71"/>
        <v>1727.5921140565829</v>
      </c>
      <c r="AE223" s="71">
        <f t="shared" si="71"/>
        <v>1196.4078859434171</v>
      </c>
      <c r="AF223" s="187">
        <f t="shared" si="71"/>
        <v>5736</v>
      </c>
      <c r="AG223" s="187">
        <f t="shared" si="71"/>
        <v>4757</v>
      </c>
      <c r="AH223" s="187">
        <f t="shared" si="71"/>
        <v>9154</v>
      </c>
      <c r="AI223" s="187">
        <f t="shared" si="71"/>
        <v>1343</v>
      </c>
      <c r="AJ223" s="187">
        <f t="shared" si="71"/>
        <v>7811</v>
      </c>
      <c r="AK223" s="187">
        <f t="shared" si="71"/>
        <v>0</v>
      </c>
      <c r="AL223" s="187">
        <f t="shared" si="71"/>
        <v>7213</v>
      </c>
      <c r="AM223" s="187">
        <f t="shared" si="71"/>
        <v>339</v>
      </c>
      <c r="AN223" s="187">
        <f t="shared" si="71"/>
        <v>5079</v>
      </c>
      <c r="AO223" s="187">
        <f t="shared" si="71"/>
        <v>1795</v>
      </c>
      <c r="AP223" s="166"/>
      <c r="AQ223" s="166"/>
      <c r="AR223" s="3"/>
      <c r="AS223" s="3"/>
      <c r="AT223" s="3"/>
      <c r="AU223" s="3"/>
      <c r="AV223" s="3"/>
      <c r="AW223" s="3"/>
      <c r="AX223" s="3"/>
      <c r="AY223" s="3"/>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row>
    <row r="224" spans="1:247" ht="25.2" customHeight="1" x14ac:dyDescent="0.3">
      <c r="A224" s="16" t="s">
        <v>71</v>
      </c>
      <c r="B224" s="107" t="s">
        <v>43</v>
      </c>
      <c r="C224" s="135"/>
      <c r="D224" s="136"/>
      <c r="E224" s="136"/>
      <c r="F224" s="136"/>
      <c r="G224" s="71">
        <f>SUM(G225:G230)</f>
        <v>14386</v>
      </c>
      <c r="H224" s="71">
        <f t="shared" ref="H224:AO224" si="72">SUM(H225:H230)</f>
        <v>0</v>
      </c>
      <c r="I224" s="71">
        <f t="shared" si="72"/>
        <v>12400</v>
      </c>
      <c r="J224" s="71">
        <f t="shared" si="72"/>
        <v>1986</v>
      </c>
      <c r="K224" s="71">
        <f t="shared" si="72"/>
        <v>10493</v>
      </c>
      <c r="L224" s="71">
        <f t="shared" si="72"/>
        <v>5280</v>
      </c>
      <c r="M224" s="71">
        <f t="shared" si="72"/>
        <v>0</v>
      </c>
      <c r="N224" s="71">
        <f t="shared" si="72"/>
        <v>5280</v>
      </c>
      <c r="O224" s="71">
        <f t="shared" si="72"/>
        <v>0</v>
      </c>
      <c r="P224" s="71">
        <f t="shared" si="72"/>
        <v>5213</v>
      </c>
      <c r="Q224" s="71">
        <f t="shared" si="72"/>
        <v>0</v>
      </c>
      <c r="R224" s="71">
        <f t="shared" si="72"/>
        <v>4016.5921140565829</v>
      </c>
      <c r="S224" s="71">
        <f t="shared" si="72"/>
        <v>1196.4078859434171</v>
      </c>
      <c r="T224" s="71">
        <f t="shared" si="72"/>
        <v>0</v>
      </c>
      <c r="U224" s="71">
        <f t="shared" si="72"/>
        <v>2531</v>
      </c>
      <c r="V224" s="71">
        <f t="shared" si="72"/>
        <v>0</v>
      </c>
      <c r="W224" s="71">
        <f t="shared" si="72"/>
        <v>0</v>
      </c>
      <c r="X224" s="71">
        <f t="shared" si="72"/>
        <v>2289</v>
      </c>
      <c r="Y224" s="71">
        <f t="shared" si="72"/>
        <v>242</v>
      </c>
      <c r="Z224" s="71">
        <f t="shared" si="72"/>
        <v>0</v>
      </c>
      <c r="AA224" s="71">
        <f t="shared" si="72"/>
        <v>0</v>
      </c>
      <c r="AB224" s="71">
        <f t="shared" si="72"/>
        <v>2924</v>
      </c>
      <c r="AC224" s="71">
        <f t="shared" si="72"/>
        <v>0</v>
      </c>
      <c r="AD224" s="71">
        <f t="shared" si="72"/>
        <v>1727.5921140565829</v>
      </c>
      <c r="AE224" s="71">
        <f t="shared" si="72"/>
        <v>1196.4078859434171</v>
      </c>
      <c r="AF224" s="187">
        <f t="shared" si="72"/>
        <v>5736</v>
      </c>
      <c r="AG224" s="187">
        <f t="shared" si="72"/>
        <v>4757</v>
      </c>
      <c r="AH224" s="187">
        <f t="shared" si="72"/>
        <v>7811</v>
      </c>
      <c r="AI224" s="187">
        <f t="shared" si="72"/>
        <v>0</v>
      </c>
      <c r="AJ224" s="187">
        <f t="shared" si="72"/>
        <v>7811</v>
      </c>
      <c r="AK224" s="187">
        <f t="shared" si="72"/>
        <v>0</v>
      </c>
      <c r="AL224" s="187">
        <f t="shared" si="72"/>
        <v>6352</v>
      </c>
      <c r="AM224" s="187">
        <f t="shared" si="72"/>
        <v>0</v>
      </c>
      <c r="AN224" s="187">
        <f t="shared" si="72"/>
        <v>4589</v>
      </c>
      <c r="AO224" s="187">
        <f t="shared" si="72"/>
        <v>1763</v>
      </c>
      <c r="AP224" s="166"/>
      <c r="AQ224" s="166"/>
      <c r="AR224" s="3"/>
      <c r="AS224" s="3"/>
      <c r="AT224" s="3"/>
      <c r="AU224" s="3"/>
      <c r="AV224" s="3"/>
      <c r="AW224" s="3"/>
      <c r="AX224" s="3"/>
      <c r="AY224" s="3"/>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row>
    <row r="225" spans="1:247" ht="74.25" customHeight="1" x14ac:dyDescent="0.3">
      <c r="A225" s="16">
        <v>1</v>
      </c>
      <c r="B225" s="24" t="s">
        <v>405</v>
      </c>
      <c r="C225" s="25" t="s">
        <v>406</v>
      </c>
      <c r="D225" s="25">
        <v>2021</v>
      </c>
      <c r="E225" s="25" t="s">
        <v>150</v>
      </c>
      <c r="F225" s="25" t="s">
        <v>407</v>
      </c>
      <c r="G225" s="26">
        <v>2191</v>
      </c>
      <c r="H225" s="126"/>
      <c r="I225" s="126">
        <v>2000</v>
      </c>
      <c r="J225" s="126">
        <f t="shared" ref="J225:J229" si="73">G225-I225</f>
        <v>191</v>
      </c>
      <c r="K225" s="28">
        <v>2021</v>
      </c>
      <c r="L225" s="104">
        <f>M225+N225+O225</f>
        <v>1580</v>
      </c>
      <c r="M225" s="28"/>
      <c r="N225" s="28">
        <f>'[1]NHật ký Công trình'!$K$27+'[1]NHật ký Công trình'!$L$27+'[1]NHật ký Công trình'!$M$27</f>
        <v>1580</v>
      </c>
      <c r="O225" s="28"/>
      <c r="P225" s="28">
        <f t="shared" ref="P225:P230" si="74">K225-L225</f>
        <v>441</v>
      </c>
      <c r="Q225" s="28"/>
      <c r="R225" s="28">
        <f>I225-N225</f>
        <v>420</v>
      </c>
      <c r="S225" s="28">
        <f>P225-R225</f>
        <v>21</v>
      </c>
      <c r="T225" s="26"/>
      <c r="U225" s="105">
        <f>V225+W225+X225+Y225+Z225+AA225</f>
        <v>189</v>
      </c>
      <c r="V225" s="29"/>
      <c r="W225" s="29"/>
      <c r="X225" s="29">
        <v>189</v>
      </c>
      <c r="Y225" s="29"/>
      <c r="Z225" s="29"/>
      <c r="AA225" s="29"/>
      <c r="AB225" s="105">
        <f>P225-U225</f>
        <v>252</v>
      </c>
      <c r="AC225" s="29"/>
      <c r="AD225" s="29">
        <f>R225-X225</f>
        <v>231</v>
      </c>
      <c r="AE225" s="29">
        <f>S225-Z225</f>
        <v>21</v>
      </c>
      <c r="AF225" s="185"/>
      <c r="AG225" s="185">
        <f>K225</f>
        <v>2021</v>
      </c>
      <c r="AH225" s="183">
        <f t="shared" ref="AH225:AH230" si="75">L225+U225</f>
        <v>1769</v>
      </c>
      <c r="AI225" s="183">
        <f t="shared" ref="AI225:AI230" si="76">M225+V225+W225</f>
        <v>0</v>
      </c>
      <c r="AJ225" s="183">
        <f t="shared" ref="AJ225:AJ230" si="77">N225+X225+Y225</f>
        <v>1769</v>
      </c>
      <c r="AK225" s="183">
        <f t="shared" ref="AK225:AK230" si="78">O225+Z225+AA225</f>
        <v>0</v>
      </c>
      <c r="AL225" s="183">
        <f>AG225-AH225</f>
        <v>252</v>
      </c>
      <c r="AM225" s="183"/>
      <c r="AN225" s="183">
        <f t="shared" ref="AN225:AN226" si="79">I225-N225-X225</f>
        <v>231</v>
      </c>
      <c r="AO225" s="183">
        <v>21</v>
      </c>
      <c r="AP225" s="166"/>
      <c r="AQ225" s="166"/>
      <c r="AR225" s="3"/>
      <c r="AS225" s="3"/>
      <c r="AT225" s="3"/>
      <c r="AU225" s="3"/>
      <c r="AV225" s="3"/>
      <c r="AW225" s="3"/>
      <c r="AX225" s="3"/>
      <c r="AY225" s="3"/>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row>
    <row r="226" spans="1:247" ht="74.25" customHeight="1" x14ac:dyDescent="0.3">
      <c r="A226" s="16">
        <v>2</v>
      </c>
      <c r="B226" s="24" t="s">
        <v>408</v>
      </c>
      <c r="C226" s="25" t="s">
        <v>406</v>
      </c>
      <c r="D226" s="25">
        <v>2022</v>
      </c>
      <c r="E226" s="25" t="s">
        <v>150</v>
      </c>
      <c r="F226" s="25" t="s">
        <v>409</v>
      </c>
      <c r="G226" s="26">
        <v>2789</v>
      </c>
      <c r="H226" s="126"/>
      <c r="I226" s="126">
        <v>2200</v>
      </c>
      <c r="J226" s="126">
        <f t="shared" si="73"/>
        <v>589</v>
      </c>
      <c r="K226" s="28">
        <f>AG226</f>
        <v>2736</v>
      </c>
      <c r="L226" s="104">
        <f>M226+N226+O226</f>
        <v>880</v>
      </c>
      <c r="M226" s="28"/>
      <c r="N226" s="28">
        <f>'[1]NHật ký Công trình'!$L$28+'[1]NHật ký Công trình'!$M$28</f>
        <v>880</v>
      </c>
      <c r="O226" s="28"/>
      <c r="P226" s="28">
        <f t="shared" si="74"/>
        <v>1856</v>
      </c>
      <c r="Q226" s="28"/>
      <c r="R226" s="28">
        <f>I226-N226</f>
        <v>1320</v>
      </c>
      <c r="S226" s="28">
        <f>P226-R226</f>
        <v>536</v>
      </c>
      <c r="T226" s="26"/>
      <c r="U226" s="105">
        <f t="shared" ref="U226:U230" si="80">V226+W226+X226+Y226+Z226+AA226</f>
        <v>230</v>
      </c>
      <c r="V226" s="29"/>
      <c r="W226" s="29"/>
      <c r="X226" s="29">
        <v>230</v>
      </c>
      <c r="Y226" s="29"/>
      <c r="Z226" s="29"/>
      <c r="AA226" s="29"/>
      <c r="AB226" s="105">
        <f>P226-U226</f>
        <v>1626</v>
      </c>
      <c r="AC226" s="29"/>
      <c r="AD226" s="29">
        <f>R226-X226</f>
        <v>1090</v>
      </c>
      <c r="AE226" s="29">
        <f>S226-Z226</f>
        <v>536</v>
      </c>
      <c r="AF226" s="185"/>
      <c r="AG226" s="185">
        <v>2736</v>
      </c>
      <c r="AH226" s="183">
        <f t="shared" si="75"/>
        <v>1110</v>
      </c>
      <c r="AI226" s="183">
        <f t="shared" si="76"/>
        <v>0</v>
      </c>
      <c r="AJ226" s="183">
        <f t="shared" si="77"/>
        <v>1110</v>
      </c>
      <c r="AK226" s="183">
        <f t="shared" si="78"/>
        <v>0</v>
      </c>
      <c r="AL226" s="183">
        <f>AG226-AH226</f>
        <v>1626</v>
      </c>
      <c r="AM226" s="183"/>
      <c r="AN226" s="183">
        <f t="shared" si="79"/>
        <v>1090</v>
      </c>
      <c r="AO226" s="183">
        <v>536</v>
      </c>
      <c r="AP226" s="166"/>
      <c r="AQ226" s="166"/>
      <c r="AR226" s="3"/>
      <c r="AS226" s="3"/>
      <c r="AT226" s="3"/>
      <c r="AU226" s="3"/>
      <c r="AV226" s="3"/>
      <c r="AW226" s="3"/>
      <c r="AX226" s="3"/>
      <c r="AY226" s="3"/>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row>
    <row r="227" spans="1:247" ht="74.25" customHeight="1" x14ac:dyDescent="0.3">
      <c r="A227" s="16">
        <v>3</v>
      </c>
      <c r="B227" s="24" t="s">
        <v>410</v>
      </c>
      <c r="C227" s="25" t="s">
        <v>406</v>
      </c>
      <c r="D227" s="25">
        <v>2022</v>
      </c>
      <c r="E227" s="25" t="s">
        <v>150</v>
      </c>
      <c r="F227" s="25" t="s">
        <v>411</v>
      </c>
      <c r="G227" s="26">
        <v>4489</v>
      </c>
      <c r="H227" s="126"/>
      <c r="I227" s="126">
        <v>3800</v>
      </c>
      <c r="J227" s="126">
        <f t="shared" si="73"/>
        <v>689</v>
      </c>
      <c r="K227" s="28">
        <v>2928</v>
      </c>
      <c r="L227" s="104">
        <f>M227+N227+O227</f>
        <v>1260</v>
      </c>
      <c r="M227" s="28"/>
      <c r="N227" s="28">
        <f>'[1]NHật ký Công trình'!$L$29+'[1]NHật ký Công trình'!$M$29</f>
        <v>1260</v>
      </c>
      <c r="O227" s="28"/>
      <c r="P227" s="28">
        <f t="shared" si="74"/>
        <v>1668</v>
      </c>
      <c r="Q227" s="28"/>
      <c r="R227" s="28">
        <f>(K227*(I227/G227))-N227</f>
        <v>1218.5921140565829</v>
      </c>
      <c r="S227" s="28">
        <f>K227*(J227/G227)-O227</f>
        <v>449.40788594341723</v>
      </c>
      <c r="T227" s="26"/>
      <c r="U227" s="105">
        <f t="shared" si="80"/>
        <v>886</v>
      </c>
      <c r="V227" s="29"/>
      <c r="W227" s="29"/>
      <c r="X227" s="29">
        <f>'[1]NHật ký Công trình'!$N$29</f>
        <v>886</v>
      </c>
      <c r="Y227" s="29"/>
      <c r="Z227" s="29"/>
      <c r="AA227" s="29"/>
      <c r="AB227" s="105">
        <f>P227-U227</f>
        <v>782</v>
      </c>
      <c r="AC227" s="29"/>
      <c r="AD227" s="29">
        <f>R227-X227</f>
        <v>332.59211405658289</v>
      </c>
      <c r="AE227" s="29">
        <f>S227-Z227</f>
        <v>449.40788594341723</v>
      </c>
      <c r="AF227" s="185">
        <v>2928</v>
      </c>
      <c r="AG227" s="185"/>
      <c r="AH227" s="183">
        <f t="shared" si="75"/>
        <v>2146</v>
      </c>
      <c r="AI227" s="183">
        <f t="shared" si="76"/>
        <v>0</v>
      </c>
      <c r="AJ227" s="183">
        <f t="shared" si="77"/>
        <v>2146</v>
      </c>
      <c r="AK227" s="183">
        <f t="shared" si="78"/>
        <v>0</v>
      </c>
      <c r="AL227" s="183">
        <f>G227-AH227</f>
        <v>2343</v>
      </c>
      <c r="AM227" s="183"/>
      <c r="AN227" s="183">
        <f>I227-AJ227</f>
        <v>1654</v>
      </c>
      <c r="AO227" s="183">
        <f>J227</f>
        <v>689</v>
      </c>
      <c r="AP227" s="166"/>
      <c r="AQ227" s="166"/>
      <c r="AR227" s="3"/>
      <c r="AS227" s="3"/>
      <c r="AT227" s="3"/>
      <c r="AU227" s="3"/>
      <c r="AV227" s="3"/>
      <c r="AW227" s="3"/>
      <c r="AX227" s="3"/>
      <c r="AY227" s="3"/>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row>
    <row r="228" spans="1:247" ht="74.25" customHeight="1" x14ac:dyDescent="0.3">
      <c r="A228" s="16">
        <v>4</v>
      </c>
      <c r="B228" s="24" t="s">
        <v>412</v>
      </c>
      <c r="C228" s="25" t="s">
        <v>406</v>
      </c>
      <c r="D228" s="25">
        <v>2022</v>
      </c>
      <c r="E228" s="25" t="s">
        <v>150</v>
      </c>
      <c r="F228" s="25" t="s">
        <v>413</v>
      </c>
      <c r="G228" s="26">
        <v>1500</v>
      </c>
      <c r="H228" s="126"/>
      <c r="I228" s="126">
        <v>1200</v>
      </c>
      <c r="J228" s="126">
        <v>300</v>
      </c>
      <c r="K228" s="28">
        <v>950</v>
      </c>
      <c r="L228" s="104">
        <f>M228+N228+O228</f>
        <v>560</v>
      </c>
      <c r="M228" s="28"/>
      <c r="N228" s="28">
        <f>'[1]NHật ký Công trình'!$L$30+'[1]NHật ký Công trình'!$M$30</f>
        <v>560</v>
      </c>
      <c r="O228" s="28"/>
      <c r="P228" s="28">
        <f t="shared" si="74"/>
        <v>390</v>
      </c>
      <c r="Q228" s="28"/>
      <c r="R228" s="28">
        <f>(K228*(I228/G228))-N228</f>
        <v>200</v>
      </c>
      <c r="S228" s="28">
        <f>K228*(J228/G228)-O228</f>
        <v>190</v>
      </c>
      <c r="T228" s="26"/>
      <c r="U228" s="105">
        <f t="shared" si="80"/>
        <v>126</v>
      </c>
      <c r="V228" s="29"/>
      <c r="W228" s="29"/>
      <c r="X228" s="29">
        <f>'[1]NHật ký Công trình'!$N$30</f>
        <v>126</v>
      </c>
      <c r="Y228" s="29"/>
      <c r="Z228" s="29"/>
      <c r="AA228" s="29"/>
      <c r="AB228" s="105">
        <f>P228-U228</f>
        <v>264</v>
      </c>
      <c r="AC228" s="29"/>
      <c r="AD228" s="29">
        <f>R228-X228</f>
        <v>74</v>
      </c>
      <c r="AE228" s="29">
        <f>S228-Z228</f>
        <v>190</v>
      </c>
      <c r="AF228" s="185">
        <v>950</v>
      </c>
      <c r="AG228" s="185">
        <v>0</v>
      </c>
      <c r="AH228" s="183">
        <f t="shared" si="75"/>
        <v>686</v>
      </c>
      <c r="AI228" s="183">
        <f t="shared" si="76"/>
        <v>0</v>
      </c>
      <c r="AJ228" s="183">
        <f t="shared" si="77"/>
        <v>686</v>
      </c>
      <c r="AK228" s="183">
        <f t="shared" si="78"/>
        <v>0</v>
      </c>
      <c r="AL228" s="183">
        <f>G228-AH228</f>
        <v>814</v>
      </c>
      <c r="AM228" s="183"/>
      <c r="AN228" s="183">
        <f>I228-AJ228</f>
        <v>514</v>
      </c>
      <c r="AO228" s="183">
        <f>J228</f>
        <v>300</v>
      </c>
      <c r="AP228" s="166"/>
      <c r="AQ228" s="166"/>
      <c r="AR228" s="3"/>
      <c r="AS228" s="3"/>
      <c r="AT228" s="3"/>
      <c r="AU228" s="3"/>
      <c r="AV228" s="3"/>
      <c r="AW228" s="3"/>
      <c r="AX228" s="3"/>
      <c r="AY228" s="3"/>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row>
    <row r="229" spans="1:247" ht="74.25" customHeight="1" x14ac:dyDescent="0.3">
      <c r="A229" s="16">
        <v>5</v>
      </c>
      <c r="B229" s="24" t="s">
        <v>414</v>
      </c>
      <c r="C229" s="25" t="s">
        <v>406</v>
      </c>
      <c r="D229" s="25">
        <v>2023</v>
      </c>
      <c r="E229" s="25" t="s">
        <v>415</v>
      </c>
      <c r="F229" s="25" t="s">
        <v>416</v>
      </c>
      <c r="G229" s="26">
        <v>1870</v>
      </c>
      <c r="H229" s="126"/>
      <c r="I229" s="126">
        <v>1800</v>
      </c>
      <c r="J229" s="126">
        <f t="shared" si="73"/>
        <v>70</v>
      </c>
      <c r="K229" s="28">
        <v>958</v>
      </c>
      <c r="L229" s="104">
        <f t="shared" ref="L229:L230" si="81">M229+N229+O229</f>
        <v>600</v>
      </c>
      <c r="M229" s="28"/>
      <c r="N229" s="28">
        <f>'[1]NHật ký Công trình'!$M$34</f>
        <v>600</v>
      </c>
      <c r="O229" s="28"/>
      <c r="P229" s="28">
        <f t="shared" si="74"/>
        <v>358</v>
      </c>
      <c r="Q229" s="28"/>
      <c r="R229" s="28">
        <v>358</v>
      </c>
      <c r="S229" s="28"/>
      <c r="T229" s="26"/>
      <c r="U229" s="105">
        <f t="shared" si="80"/>
        <v>600</v>
      </c>
      <c r="V229" s="29"/>
      <c r="W229" s="29"/>
      <c r="X229" s="29">
        <v>358</v>
      </c>
      <c r="Y229" s="29">
        <f>600-358</f>
        <v>242</v>
      </c>
      <c r="Z229" s="29"/>
      <c r="AA229" s="29"/>
      <c r="AB229" s="105"/>
      <c r="AC229" s="29"/>
      <c r="AD229" s="29"/>
      <c r="AE229" s="29"/>
      <c r="AF229" s="185">
        <v>958</v>
      </c>
      <c r="AG229" s="185"/>
      <c r="AH229" s="183">
        <f t="shared" si="75"/>
        <v>1200</v>
      </c>
      <c r="AI229" s="183">
        <f t="shared" si="76"/>
        <v>0</v>
      </c>
      <c r="AJ229" s="183">
        <f t="shared" si="77"/>
        <v>1200</v>
      </c>
      <c r="AK229" s="183">
        <f t="shared" si="78"/>
        <v>0</v>
      </c>
      <c r="AL229" s="183">
        <f>G229-AH229</f>
        <v>670</v>
      </c>
      <c r="AM229" s="183"/>
      <c r="AN229" s="183">
        <f>I229-AJ229</f>
        <v>600</v>
      </c>
      <c r="AO229" s="183">
        <f>J229</f>
        <v>70</v>
      </c>
      <c r="AP229" s="166"/>
      <c r="AQ229" s="166"/>
      <c r="AR229" s="3"/>
      <c r="AS229" s="3"/>
      <c r="AT229" s="3"/>
      <c r="AU229" s="3"/>
      <c r="AV229" s="3"/>
      <c r="AW229" s="3"/>
      <c r="AX229" s="3"/>
      <c r="AY229" s="3"/>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row>
    <row r="230" spans="1:247" ht="74.25" customHeight="1" x14ac:dyDescent="0.3">
      <c r="A230" s="16">
        <v>6</v>
      </c>
      <c r="B230" s="24" t="s">
        <v>417</v>
      </c>
      <c r="C230" s="25" t="s">
        <v>406</v>
      </c>
      <c r="D230" s="25">
        <v>2023</v>
      </c>
      <c r="E230" s="25" t="s">
        <v>415</v>
      </c>
      <c r="F230" s="25" t="s">
        <v>418</v>
      </c>
      <c r="G230" s="26">
        <v>1547</v>
      </c>
      <c r="H230" s="126"/>
      <c r="I230" s="126">
        <v>1400</v>
      </c>
      <c r="J230" s="126">
        <f>G230-I230</f>
        <v>147</v>
      </c>
      <c r="K230" s="28">
        <v>900</v>
      </c>
      <c r="L230" s="104">
        <f t="shared" si="81"/>
        <v>400</v>
      </c>
      <c r="M230" s="28"/>
      <c r="N230" s="28">
        <f>'[1]NHật ký Công trình'!$M$35</f>
        <v>400</v>
      </c>
      <c r="O230" s="28"/>
      <c r="P230" s="28">
        <f t="shared" si="74"/>
        <v>500</v>
      </c>
      <c r="Q230" s="28"/>
      <c r="R230" s="28">
        <v>500</v>
      </c>
      <c r="S230" s="28"/>
      <c r="T230" s="26"/>
      <c r="U230" s="105">
        <f t="shared" si="80"/>
        <v>500</v>
      </c>
      <c r="V230" s="29"/>
      <c r="W230" s="29"/>
      <c r="X230" s="29">
        <f>'[1]NHật ký Công trình'!$N$35</f>
        <v>500</v>
      </c>
      <c r="Y230" s="29"/>
      <c r="Z230" s="29"/>
      <c r="AA230" s="29"/>
      <c r="AB230" s="105"/>
      <c r="AC230" s="29"/>
      <c r="AD230" s="29"/>
      <c r="AE230" s="29"/>
      <c r="AF230" s="185">
        <v>900</v>
      </c>
      <c r="AG230" s="185"/>
      <c r="AH230" s="183">
        <f t="shared" si="75"/>
        <v>900</v>
      </c>
      <c r="AI230" s="183">
        <f t="shared" si="76"/>
        <v>0</v>
      </c>
      <c r="AJ230" s="183">
        <f t="shared" si="77"/>
        <v>900</v>
      </c>
      <c r="AK230" s="183">
        <f t="shared" si="78"/>
        <v>0</v>
      </c>
      <c r="AL230" s="183">
        <f>G230-AH230</f>
        <v>647</v>
      </c>
      <c r="AM230" s="183"/>
      <c r="AN230" s="183">
        <f>I230-AF230</f>
        <v>500</v>
      </c>
      <c r="AO230" s="183">
        <f>J230</f>
        <v>147</v>
      </c>
      <c r="AP230" s="166"/>
      <c r="AQ230" s="166"/>
      <c r="AR230" s="3"/>
      <c r="AS230" s="3"/>
      <c r="AT230" s="3"/>
      <c r="AU230" s="3"/>
      <c r="AV230" s="3"/>
      <c r="AW230" s="3"/>
      <c r="AX230" s="3"/>
      <c r="AY230" s="3"/>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row>
    <row r="231" spans="1:247" ht="16.5" customHeight="1" x14ac:dyDescent="0.3">
      <c r="A231" s="73" t="s">
        <v>71</v>
      </c>
      <c r="B231" s="74" t="s">
        <v>419</v>
      </c>
      <c r="C231" s="75"/>
      <c r="D231" s="75"/>
      <c r="E231" s="75"/>
      <c r="F231" s="75"/>
      <c r="G231" s="76">
        <f>G232+G233</f>
        <v>2204</v>
      </c>
      <c r="H231" s="76">
        <f t="shared" ref="H231:AO231" si="82">H232+H233</f>
        <v>1682</v>
      </c>
      <c r="I231" s="76">
        <f t="shared" si="82"/>
        <v>490</v>
      </c>
      <c r="J231" s="76">
        <f t="shared" si="82"/>
        <v>32</v>
      </c>
      <c r="K231" s="76">
        <f t="shared" si="82"/>
        <v>0</v>
      </c>
      <c r="L231" s="76">
        <f t="shared" si="82"/>
        <v>689</v>
      </c>
      <c r="M231" s="76">
        <f t="shared" si="82"/>
        <v>689</v>
      </c>
      <c r="N231" s="76">
        <f t="shared" si="82"/>
        <v>0</v>
      </c>
      <c r="O231" s="76">
        <f t="shared" si="82"/>
        <v>0</v>
      </c>
      <c r="P231" s="77">
        <f t="shared" si="82"/>
        <v>0</v>
      </c>
      <c r="Q231" s="77">
        <f t="shared" si="82"/>
        <v>0</v>
      </c>
      <c r="R231" s="77">
        <f t="shared" si="82"/>
        <v>0</v>
      </c>
      <c r="S231" s="77">
        <f t="shared" si="82"/>
        <v>0</v>
      </c>
      <c r="T231" s="77">
        <f t="shared" si="82"/>
        <v>0</v>
      </c>
      <c r="U231" s="77">
        <f t="shared" si="82"/>
        <v>654</v>
      </c>
      <c r="V231" s="77">
        <f t="shared" si="82"/>
        <v>0</v>
      </c>
      <c r="W231" s="77">
        <f t="shared" si="82"/>
        <v>654</v>
      </c>
      <c r="X231" s="77">
        <f t="shared" si="82"/>
        <v>0</v>
      </c>
      <c r="Y231" s="77">
        <f t="shared" si="82"/>
        <v>0</v>
      </c>
      <c r="Z231" s="77">
        <f t="shared" si="82"/>
        <v>0</v>
      </c>
      <c r="AA231" s="77">
        <f t="shared" si="82"/>
        <v>0</v>
      </c>
      <c r="AB231" s="77">
        <f t="shared" si="82"/>
        <v>0</v>
      </c>
      <c r="AC231" s="77">
        <f t="shared" si="82"/>
        <v>0</v>
      </c>
      <c r="AD231" s="77">
        <f t="shared" si="82"/>
        <v>0</v>
      </c>
      <c r="AE231" s="77">
        <f t="shared" si="82"/>
        <v>0</v>
      </c>
      <c r="AF231" s="188">
        <f t="shared" si="82"/>
        <v>0</v>
      </c>
      <c r="AG231" s="188">
        <f t="shared" si="82"/>
        <v>0</v>
      </c>
      <c r="AH231" s="188">
        <f t="shared" si="82"/>
        <v>1343</v>
      </c>
      <c r="AI231" s="188">
        <f t="shared" si="82"/>
        <v>1343</v>
      </c>
      <c r="AJ231" s="188">
        <f t="shared" si="82"/>
        <v>0</v>
      </c>
      <c r="AK231" s="188">
        <f t="shared" si="82"/>
        <v>0</v>
      </c>
      <c r="AL231" s="188">
        <f t="shared" si="82"/>
        <v>861</v>
      </c>
      <c r="AM231" s="188">
        <f t="shared" si="82"/>
        <v>339</v>
      </c>
      <c r="AN231" s="188">
        <f t="shared" si="82"/>
        <v>490</v>
      </c>
      <c r="AO231" s="188">
        <f t="shared" si="82"/>
        <v>32</v>
      </c>
      <c r="AP231" s="166"/>
      <c r="AQ231" s="166"/>
      <c r="AR231" s="3"/>
      <c r="AS231" s="3"/>
      <c r="AT231" s="3"/>
      <c r="AU231" s="3"/>
      <c r="AV231" s="3"/>
      <c r="AW231" s="3"/>
      <c r="AX231" s="3"/>
      <c r="AY231" s="3"/>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row>
    <row r="232" spans="1:247" ht="74.25" customHeight="1" x14ac:dyDescent="0.3">
      <c r="A232" s="16">
        <v>1</v>
      </c>
      <c r="B232" s="24" t="s">
        <v>420</v>
      </c>
      <c r="C232" s="25" t="s">
        <v>406</v>
      </c>
      <c r="D232" s="25">
        <v>2023</v>
      </c>
      <c r="E232" s="25" t="s">
        <v>415</v>
      </c>
      <c r="F232" s="25" t="s">
        <v>421</v>
      </c>
      <c r="G232" s="26">
        <v>1172</v>
      </c>
      <c r="H232" s="126">
        <v>882</v>
      </c>
      <c r="I232" s="126">
        <v>290</v>
      </c>
      <c r="J232" s="126">
        <v>0</v>
      </c>
      <c r="K232" s="28"/>
      <c r="L232" s="104">
        <f>M232+N232+O232</f>
        <v>389</v>
      </c>
      <c r="M232" s="28">
        <v>389</v>
      </c>
      <c r="N232" s="28"/>
      <c r="O232" s="28"/>
      <c r="P232" s="28"/>
      <c r="Q232" s="28"/>
      <c r="R232" s="28"/>
      <c r="S232" s="28"/>
      <c r="T232" s="26"/>
      <c r="U232" s="105">
        <f>V232+W232+X232+Y232+Z232+AA232</f>
        <v>354</v>
      </c>
      <c r="V232" s="29"/>
      <c r="W232" s="29">
        <v>354</v>
      </c>
      <c r="X232" s="29"/>
      <c r="Y232" s="29"/>
      <c r="Z232" s="29"/>
      <c r="AA232" s="29"/>
      <c r="AB232" s="105"/>
      <c r="AC232" s="29"/>
      <c r="AD232" s="29"/>
      <c r="AE232" s="29"/>
      <c r="AF232" s="185"/>
      <c r="AG232" s="185"/>
      <c r="AH232" s="183">
        <f>AI232+AJ232+AK232</f>
        <v>743</v>
      </c>
      <c r="AI232" s="183">
        <v>743</v>
      </c>
      <c r="AJ232" s="183">
        <v>0</v>
      </c>
      <c r="AK232" s="183"/>
      <c r="AL232" s="183">
        <f>G232-AH232</f>
        <v>429</v>
      </c>
      <c r="AM232" s="183">
        <f>H232-AH232</f>
        <v>139</v>
      </c>
      <c r="AN232" s="183">
        <v>290</v>
      </c>
      <c r="AO232" s="183">
        <v>0</v>
      </c>
      <c r="AP232" s="166"/>
      <c r="AQ232" s="166"/>
      <c r="AR232" s="3"/>
      <c r="AS232" s="3"/>
      <c r="AT232" s="3"/>
      <c r="AU232" s="3"/>
      <c r="AV232" s="3"/>
      <c r="AW232" s="3"/>
      <c r="AX232" s="3"/>
      <c r="AY232" s="3"/>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row>
    <row r="233" spans="1:247" ht="74.25" customHeight="1" x14ac:dyDescent="0.3">
      <c r="A233" s="16">
        <v>2</v>
      </c>
      <c r="B233" s="24" t="s">
        <v>422</v>
      </c>
      <c r="C233" s="25" t="s">
        <v>406</v>
      </c>
      <c r="D233" s="25">
        <v>2023</v>
      </c>
      <c r="E233" s="25" t="s">
        <v>415</v>
      </c>
      <c r="F233" s="25" t="s">
        <v>423</v>
      </c>
      <c r="G233" s="26">
        <v>1032</v>
      </c>
      <c r="H233" s="126">
        <v>800</v>
      </c>
      <c r="I233" s="126">
        <v>200</v>
      </c>
      <c r="J233" s="126">
        <v>32</v>
      </c>
      <c r="K233" s="28"/>
      <c r="L233" s="104">
        <f>M233+N233+O233</f>
        <v>300</v>
      </c>
      <c r="M233" s="28">
        <v>300</v>
      </c>
      <c r="N233" s="28"/>
      <c r="O233" s="28"/>
      <c r="P233" s="28"/>
      <c r="Q233" s="28"/>
      <c r="R233" s="28"/>
      <c r="S233" s="28"/>
      <c r="T233" s="26"/>
      <c r="U233" s="105">
        <f>V233+W233+X233+Y233+Z233+AA233</f>
        <v>300</v>
      </c>
      <c r="V233" s="29"/>
      <c r="W233" s="29">
        <v>300</v>
      </c>
      <c r="X233" s="29"/>
      <c r="Y233" s="29"/>
      <c r="Z233" s="29"/>
      <c r="AA233" s="29"/>
      <c r="AB233" s="105"/>
      <c r="AC233" s="29"/>
      <c r="AD233" s="29"/>
      <c r="AE233" s="29"/>
      <c r="AF233" s="185"/>
      <c r="AG233" s="185"/>
      <c r="AH233" s="183">
        <f>AI233+AJ233+AK233</f>
        <v>600</v>
      </c>
      <c r="AI233" s="183">
        <v>600</v>
      </c>
      <c r="AJ233" s="183">
        <v>0</v>
      </c>
      <c r="AK233" s="183"/>
      <c r="AL233" s="183">
        <f>G233-AH233</f>
        <v>432</v>
      </c>
      <c r="AM233" s="183">
        <f>H233-AH233</f>
        <v>200</v>
      </c>
      <c r="AN233" s="183">
        <v>200</v>
      </c>
      <c r="AO233" s="183">
        <v>32</v>
      </c>
      <c r="AP233" s="166"/>
      <c r="AQ233" s="166"/>
      <c r="AR233" s="3"/>
      <c r="AS233" s="3"/>
      <c r="AT233" s="3"/>
      <c r="AU233" s="3"/>
      <c r="AV233" s="3"/>
      <c r="AW233" s="3"/>
      <c r="AX233" s="3"/>
      <c r="AY233" s="3"/>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row>
    <row r="234" spans="1:247" ht="18" customHeight="1" x14ac:dyDescent="0.3">
      <c r="A234" s="16">
        <v>9</v>
      </c>
      <c r="B234" s="70" t="s">
        <v>424</v>
      </c>
      <c r="C234" s="20"/>
      <c r="D234" s="20"/>
      <c r="E234" s="20"/>
      <c r="F234" s="20"/>
      <c r="G234" s="21">
        <f>G235+G246</f>
        <v>54904</v>
      </c>
      <c r="H234" s="21">
        <f t="shared" ref="H234:AO234" si="83">H235+H246</f>
        <v>22037</v>
      </c>
      <c r="I234" s="21">
        <f t="shared" si="83"/>
        <v>26990</v>
      </c>
      <c r="J234" s="21">
        <f t="shared" si="83"/>
        <v>5877</v>
      </c>
      <c r="K234" s="21">
        <f t="shared" si="83"/>
        <v>42898</v>
      </c>
      <c r="L234" s="21">
        <f t="shared" si="83"/>
        <v>37169</v>
      </c>
      <c r="M234" s="21">
        <f t="shared" si="83"/>
        <v>20952</v>
      </c>
      <c r="N234" s="21">
        <f t="shared" si="83"/>
        <v>14308</v>
      </c>
      <c r="O234" s="21">
        <f t="shared" si="83"/>
        <v>1909</v>
      </c>
      <c r="P234" s="21">
        <f t="shared" si="83"/>
        <v>8001</v>
      </c>
      <c r="Q234" s="21">
        <f t="shared" si="83"/>
        <v>90</v>
      </c>
      <c r="R234" s="21">
        <f t="shared" si="83"/>
        <v>5882</v>
      </c>
      <c r="S234" s="21">
        <f t="shared" si="83"/>
        <v>2029</v>
      </c>
      <c r="T234" s="21">
        <f t="shared" si="83"/>
        <v>2426</v>
      </c>
      <c r="U234" s="21">
        <f t="shared" si="83"/>
        <v>3713</v>
      </c>
      <c r="V234" s="21">
        <f t="shared" si="83"/>
        <v>0</v>
      </c>
      <c r="W234" s="21">
        <f t="shared" si="83"/>
        <v>520</v>
      </c>
      <c r="X234" s="21">
        <f t="shared" si="83"/>
        <v>2560</v>
      </c>
      <c r="Y234" s="21">
        <f t="shared" si="83"/>
        <v>633</v>
      </c>
      <c r="Z234" s="21">
        <f t="shared" si="83"/>
        <v>0</v>
      </c>
      <c r="AA234" s="21">
        <f t="shared" si="83"/>
        <v>0</v>
      </c>
      <c r="AB234" s="21">
        <f t="shared" si="83"/>
        <v>6089</v>
      </c>
      <c r="AC234" s="21">
        <f t="shared" si="83"/>
        <v>320</v>
      </c>
      <c r="AD234" s="21">
        <f t="shared" si="83"/>
        <v>3364</v>
      </c>
      <c r="AE234" s="21">
        <f t="shared" si="83"/>
        <v>2405</v>
      </c>
      <c r="AF234" s="173">
        <f t="shared" si="83"/>
        <v>5514</v>
      </c>
      <c r="AG234" s="173">
        <f t="shared" si="83"/>
        <v>30051</v>
      </c>
      <c r="AH234" s="173">
        <f t="shared" si="83"/>
        <v>40882</v>
      </c>
      <c r="AI234" s="173">
        <f t="shared" si="83"/>
        <v>21472</v>
      </c>
      <c r="AJ234" s="173">
        <f t="shared" si="83"/>
        <v>17501</v>
      </c>
      <c r="AK234" s="173">
        <f t="shared" si="83"/>
        <v>1909</v>
      </c>
      <c r="AL234" s="173">
        <f t="shared" si="83"/>
        <v>13691</v>
      </c>
      <c r="AM234" s="173">
        <f t="shared" si="83"/>
        <v>565</v>
      </c>
      <c r="AN234" s="173">
        <f t="shared" si="83"/>
        <v>9339</v>
      </c>
      <c r="AO234" s="173">
        <f t="shared" si="83"/>
        <v>3787</v>
      </c>
      <c r="AP234" s="166"/>
      <c r="AQ234" s="166"/>
      <c r="AR234" s="3"/>
      <c r="AS234" s="3"/>
      <c r="AT234" s="3"/>
      <c r="AU234" s="3"/>
      <c r="AV234" s="3"/>
      <c r="AW234" s="3"/>
      <c r="AX234" s="3"/>
      <c r="AY234" s="3"/>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row>
    <row r="235" spans="1:247" ht="22.2" customHeight="1" x14ac:dyDescent="0.3">
      <c r="A235" s="137" t="s">
        <v>42</v>
      </c>
      <c r="B235" s="138" t="s">
        <v>43</v>
      </c>
      <c r="C235" s="139"/>
      <c r="D235" s="101"/>
      <c r="E235" s="101"/>
      <c r="F235" s="101"/>
      <c r="G235" s="87">
        <f>SUM(G236:G245)</f>
        <v>50379</v>
      </c>
      <c r="H235" s="87">
        <f t="shared" ref="H235:AO235" si="84">SUM(H236:H245)</f>
        <v>19270</v>
      </c>
      <c r="I235" s="87">
        <f t="shared" si="84"/>
        <v>26490</v>
      </c>
      <c r="J235" s="87">
        <f t="shared" si="84"/>
        <v>4619</v>
      </c>
      <c r="K235" s="87">
        <f t="shared" si="84"/>
        <v>42898</v>
      </c>
      <c r="L235" s="87">
        <f t="shared" si="84"/>
        <v>35397</v>
      </c>
      <c r="M235" s="87">
        <f t="shared" si="84"/>
        <v>19180</v>
      </c>
      <c r="N235" s="87">
        <f t="shared" si="84"/>
        <v>14308</v>
      </c>
      <c r="O235" s="87">
        <f t="shared" si="84"/>
        <v>1909</v>
      </c>
      <c r="P235" s="87">
        <f t="shared" si="84"/>
        <v>8001</v>
      </c>
      <c r="Q235" s="87">
        <f t="shared" si="84"/>
        <v>90</v>
      </c>
      <c r="R235" s="87">
        <f t="shared" si="84"/>
        <v>5882</v>
      </c>
      <c r="S235" s="87">
        <f t="shared" si="84"/>
        <v>2029</v>
      </c>
      <c r="T235" s="87">
        <f t="shared" si="84"/>
        <v>651</v>
      </c>
      <c r="U235" s="87">
        <f t="shared" si="84"/>
        <v>3193</v>
      </c>
      <c r="V235" s="87">
        <f t="shared" si="84"/>
        <v>0</v>
      </c>
      <c r="W235" s="87">
        <f t="shared" si="84"/>
        <v>0</v>
      </c>
      <c r="X235" s="87">
        <f t="shared" si="84"/>
        <v>2560</v>
      </c>
      <c r="Y235" s="87">
        <f t="shared" si="84"/>
        <v>633</v>
      </c>
      <c r="Z235" s="87">
        <f t="shared" si="84"/>
        <v>0</v>
      </c>
      <c r="AA235" s="87">
        <f t="shared" si="84"/>
        <v>0</v>
      </c>
      <c r="AB235" s="87">
        <f t="shared" si="84"/>
        <v>5434</v>
      </c>
      <c r="AC235" s="87">
        <f t="shared" si="84"/>
        <v>90</v>
      </c>
      <c r="AD235" s="87">
        <f t="shared" si="84"/>
        <v>3264</v>
      </c>
      <c r="AE235" s="87">
        <f t="shared" si="84"/>
        <v>2080</v>
      </c>
      <c r="AF235" s="174">
        <f t="shared" si="84"/>
        <v>3814</v>
      </c>
      <c r="AG235" s="174">
        <f t="shared" si="84"/>
        <v>28926</v>
      </c>
      <c r="AH235" s="174">
        <f t="shared" si="84"/>
        <v>38590</v>
      </c>
      <c r="AI235" s="174">
        <f t="shared" si="84"/>
        <v>19180</v>
      </c>
      <c r="AJ235" s="174">
        <f t="shared" si="84"/>
        <v>17501</v>
      </c>
      <c r="AK235" s="174">
        <f t="shared" si="84"/>
        <v>1909</v>
      </c>
      <c r="AL235" s="174">
        <f t="shared" si="84"/>
        <v>11458</v>
      </c>
      <c r="AM235" s="174">
        <f t="shared" si="84"/>
        <v>90</v>
      </c>
      <c r="AN235" s="174">
        <f t="shared" si="84"/>
        <v>8839</v>
      </c>
      <c r="AO235" s="174">
        <f t="shared" si="84"/>
        <v>2529</v>
      </c>
      <c r="AP235" s="166"/>
      <c r="AQ235" s="166"/>
      <c r="AR235" s="3"/>
      <c r="AS235" s="3"/>
      <c r="AT235" s="3"/>
      <c r="AU235" s="3"/>
      <c r="AV235" s="3"/>
      <c r="AW235" s="3"/>
      <c r="AX235" s="3"/>
      <c r="AY235" s="3"/>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row>
    <row r="236" spans="1:247" ht="74.25" customHeight="1" x14ac:dyDescent="0.3">
      <c r="A236" s="16">
        <v>1</v>
      </c>
      <c r="B236" s="24" t="s">
        <v>425</v>
      </c>
      <c r="C236" s="25" t="s">
        <v>426</v>
      </c>
      <c r="D236" s="25">
        <v>2019</v>
      </c>
      <c r="E236" s="25">
        <v>2020</v>
      </c>
      <c r="F236" s="25" t="s">
        <v>427</v>
      </c>
      <c r="G236" s="26">
        <v>5999</v>
      </c>
      <c r="H236" s="126"/>
      <c r="I236" s="126">
        <v>4200</v>
      </c>
      <c r="J236" s="126">
        <v>1799</v>
      </c>
      <c r="K236" s="28">
        <v>5969</v>
      </c>
      <c r="L236" s="104">
        <f>M236+N236+O236</f>
        <v>5219</v>
      </c>
      <c r="M236" s="28"/>
      <c r="N236" s="28">
        <v>3660</v>
      </c>
      <c r="O236" s="28">
        <v>1559</v>
      </c>
      <c r="P236" s="28">
        <f>K236-L236</f>
        <v>750</v>
      </c>
      <c r="Q236" s="28"/>
      <c r="R236" s="28">
        <f>I236-N236</f>
        <v>540</v>
      </c>
      <c r="S236" s="28">
        <f>P236-R236</f>
        <v>210</v>
      </c>
      <c r="T236" s="26"/>
      <c r="U236" s="105">
        <f t="shared" ref="U236:U241" si="85">V236+W236+X236+Y236+Z236+AA236</f>
        <v>243</v>
      </c>
      <c r="V236" s="128"/>
      <c r="W236" s="128"/>
      <c r="X236" s="128">
        <v>243</v>
      </c>
      <c r="Y236" s="128"/>
      <c r="Z236" s="128"/>
      <c r="AA236" s="128"/>
      <c r="AB236" s="105">
        <f>P236+T236-U236</f>
        <v>507</v>
      </c>
      <c r="AC236" s="128"/>
      <c r="AD236" s="128">
        <f>R236-X236</f>
        <v>297</v>
      </c>
      <c r="AE236" s="128">
        <f>S236-Z236</f>
        <v>210</v>
      </c>
      <c r="AF236" s="185"/>
      <c r="AG236" s="185">
        <v>5969</v>
      </c>
      <c r="AH236" s="175">
        <f>U236+L236</f>
        <v>5462</v>
      </c>
      <c r="AI236" s="183">
        <f>M236+V236+W236</f>
        <v>0</v>
      </c>
      <c r="AJ236" s="175">
        <f>N236+X236+Y236</f>
        <v>3903</v>
      </c>
      <c r="AK236" s="183">
        <f>O236+Z236+AA236</f>
        <v>1559</v>
      </c>
      <c r="AL236" s="183">
        <f>AG236-AH236</f>
        <v>507</v>
      </c>
      <c r="AM236" s="183"/>
      <c r="AN236" s="183">
        <f>I236-AJ236</f>
        <v>297</v>
      </c>
      <c r="AO236" s="183">
        <v>210</v>
      </c>
      <c r="AP236" s="166"/>
      <c r="AQ236" s="166"/>
      <c r="AR236" s="3"/>
      <c r="AS236" s="3"/>
      <c r="AT236" s="3"/>
      <c r="AU236" s="3"/>
      <c r="AV236" s="3"/>
      <c r="AW236" s="3"/>
      <c r="AX236" s="3"/>
      <c r="AY236" s="3"/>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row>
    <row r="237" spans="1:247" ht="74.25" customHeight="1" x14ac:dyDescent="0.3">
      <c r="A237" s="16">
        <v>2</v>
      </c>
      <c r="B237" s="24" t="s">
        <v>428</v>
      </c>
      <c r="C237" s="25" t="s">
        <v>426</v>
      </c>
      <c r="D237" s="25">
        <v>2020</v>
      </c>
      <c r="E237" s="25">
        <v>2021</v>
      </c>
      <c r="F237" s="25" t="s">
        <v>429</v>
      </c>
      <c r="G237" s="26">
        <v>10000</v>
      </c>
      <c r="H237" s="126">
        <v>6000</v>
      </c>
      <c r="I237" s="126">
        <v>4000</v>
      </c>
      <c r="J237" s="126"/>
      <c r="K237" s="28">
        <v>9850</v>
      </c>
      <c r="L237" s="104">
        <f>M237+N237+O237</f>
        <v>9100</v>
      </c>
      <c r="M237" s="28">
        <f>2100+3900</f>
        <v>6000</v>
      </c>
      <c r="N237" s="28">
        <v>3100</v>
      </c>
      <c r="O237" s="28"/>
      <c r="P237" s="28">
        <f>K237-L237</f>
        <v>750</v>
      </c>
      <c r="Q237" s="28"/>
      <c r="R237" s="28">
        <v>750</v>
      </c>
      <c r="S237" s="28">
        <f t="shared" ref="R237:S244" si="86">J237-O237</f>
        <v>0</v>
      </c>
      <c r="T237" s="26"/>
      <c r="U237" s="105">
        <f t="shared" si="85"/>
        <v>405</v>
      </c>
      <c r="V237" s="128"/>
      <c r="W237" s="128"/>
      <c r="X237" s="128">
        <v>405</v>
      </c>
      <c r="Y237" s="128"/>
      <c r="Z237" s="128"/>
      <c r="AA237" s="128"/>
      <c r="AB237" s="105">
        <f>P237+T237-U237</f>
        <v>345</v>
      </c>
      <c r="AC237" s="128"/>
      <c r="AD237" s="128">
        <v>345</v>
      </c>
      <c r="AE237" s="128"/>
      <c r="AF237" s="185"/>
      <c r="AG237" s="185">
        <v>9850</v>
      </c>
      <c r="AH237" s="175">
        <f>U237+L237</f>
        <v>9505</v>
      </c>
      <c r="AI237" s="183">
        <f>M237+V237+W237</f>
        <v>6000</v>
      </c>
      <c r="AJ237" s="175">
        <f t="shared" ref="AJ237:AJ245" si="87">N237+X237+Y237</f>
        <v>3505</v>
      </c>
      <c r="AK237" s="183">
        <f>O237+Z237+AA237</f>
        <v>0</v>
      </c>
      <c r="AL237" s="183">
        <f>AG237-AH237</f>
        <v>345</v>
      </c>
      <c r="AM237" s="183"/>
      <c r="AN237" s="183">
        <v>345</v>
      </c>
      <c r="AO237" s="183">
        <f t="shared" ref="AO237:AO250" si="88">J237-AK237</f>
        <v>0</v>
      </c>
      <c r="AP237" s="166"/>
      <c r="AQ237" s="166"/>
      <c r="AR237" s="3"/>
      <c r="AS237" s="3"/>
      <c r="AT237" s="3"/>
      <c r="AU237" s="3"/>
      <c r="AV237" s="3"/>
      <c r="AW237" s="3"/>
      <c r="AX237" s="3"/>
      <c r="AY237" s="3"/>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row>
    <row r="238" spans="1:247" ht="74.25" customHeight="1" x14ac:dyDescent="0.3">
      <c r="A238" s="16">
        <v>3</v>
      </c>
      <c r="B238" s="24" t="s">
        <v>430</v>
      </c>
      <c r="C238" s="25" t="s">
        <v>426</v>
      </c>
      <c r="D238" s="25">
        <v>2020</v>
      </c>
      <c r="E238" s="25">
        <v>2021</v>
      </c>
      <c r="F238" s="25" t="s">
        <v>431</v>
      </c>
      <c r="G238" s="26">
        <v>5000</v>
      </c>
      <c r="H238" s="126">
        <v>3000</v>
      </c>
      <c r="I238" s="126">
        <v>1500</v>
      </c>
      <c r="J238" s="126">
        <v>500</v>
      </c>
      <c r="K238" s="28">
        <v>4864</v>
      </c>
      <c r="L238" s="104">
        <f>M238+N238+O238</f>
        <v>4110</v>
      </c>
      <c r="M238" s="28">
        <f>900+1200+810</f>
        <v>2910</v>
      </c>
      <c r="N238" s="28">
        <v>1200</v>
      </c>
      <c r="O238" s="28"/>
      <c r="P238" s="28">
        <f>K238-L238</f>
        <v>754</v>
      </c>
      <c r="Q238" s="28">
        <f>H238-M238</f>
        <v>90</v>
      </c>
      <c r="R238" s="28">
        <f>I238-N238</f>
        <v>300</v>
      </c>
      <c r="S238" s="28">
        <f>P238-Q238-R238</f>
        <v>364</v>
      </c>
      <c r="T238" s="26"/>
      <c r="U238" s="105">
        <f t="shared" si="85"/>
        <v>135</v>
      </c>
      <c r="V238" s="128"/>
      <c r="W238" s="128"/>
      <c r="X238" s="128">
        <v>135</v>
      </c>
      <c r="Y238" s="128"/>
      <c r="Z238" s="128"/>
      <c r="AA238" s="128"/>
      <c r="AB238" s="105">
        <f>P238+T238-U238</f>
        <v>619</v>
      </c>
      <c r="AC238" s="128">
        <f>Q238-V238</f>
        <v>90</v>
      </c>
      <c r="AD238" s="128">
        <f>R238-X238</f>
        <v>165</v>
      </c>
      <c r="AE238" s="128">
        <f>AB238-AC238-AD238</f>
        <v>364</v>
      </c>
      <c r="AF238" s="185"/>
      <c r="AG238" s="185">
        <v>4864</v>
      </c>
      <c r="AH238" s="175">
        <f>U238+L238</f>
        <v>4245</v>
      </c>
      <c r="AI238" s="183">
        <f>M238+V238+W238</f>
        <v>2910</v>
      </c>
      <c r="AJ238" s="175">
        <f t="shared" si="87"/>
        <v>1335</v>
      </c>
      <c r="AK238" s="183">
        <f>O238+Z238+AA238</f>
        <v>0</v>
      </c>
      <c r="AL238" s="183">
        <f>AG238-AH238</f>
        <v>619</v>
      </c>
      <c r="AM238" s="183">
        <f>AC238</f>
        <v>90</v>
      </c>
      <c r="AN238" s="183">
        <f t="shared" ref="AN238:AN250" si="89">I238-AJ238</f>
        <v>165</v>
      </c>
      <c r="AO238" s="183">
        <f>AE238</f>
        <v>364</v>
      </c>
      <c r="AP238" s="166"/>
      <c r="AQ238" s="166"/>
      <c r="AR238" s="3"/>
      <c r="AS238" s="3"/>
      <c r="AT238" s="3"/>
      <c r="AU238" s="3"/>
      <c r="AV238" s="3"/>
      <c r="AW238" s="3"/>
      <c r="AX238" s="3"/>
      <c r="AY238" s="3"/>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row>
    <row r="239" spans="1:247" ht="74.25" customHeight="1" x14ac:dyDescent="0.3">
      <c r="A239" s="16">
        <v>4</v>
      </c>
      <c r="B239" s="24" t="s">
        <v>432</v>
      </c>
      <c r="C239" s="25" t="s">
        <v>426</v>
      </c>
      <c r="D239" s="25">
        <v>2020</v>
      </c>
      <c r="E239" s="25">
        <v>2021</v>
      </c>
      <c r="F239" s="25" t="s">
        <v>433</v>
      </c>
      <c r="G239" s="26">
        <v>770</v>
      </c>
      <c r="H239" s="126">
        <v>270</v>
      </c>
      <c r="I239" s="126">
        <v>470</v>
      </c>
      <c r="J239" s="126">
        <v>30</v>
      </c>
      <c r="K239" s="28">
        <v>760</v>
      </c>
      <c r="L239" s="104">
        <f t="shared" ref="L239" si="90">M239+N239+O239</f>
        <v>458</v>
      </c>
      <c r="M239" s="28">
        <v>270</v>
      </c>
      <c r="N239" s="28">
        <v>188</v>
      </c>
      <c r="O239" s="28"/>
      <c r="P239" s="28">
        <f t="shared" ref="P239" si="91">K239-L239</f>
        <v>302</v>
      </c>
      <c r="Q239" s="28"/>
      <c r="R239" s="28">
        <f>I239-N239</f>
        <v>282</v>
      </c>
      <c r="S239" s="28">
        <f>P239-R239</f>
        <v>20</v>
      </c>
      <c r="T239" s="26"/>
      <c r="U239" s="105">
        <f t="shared" si="85"/>
        <v>127</v>
      </c>
      <c r="V239" s="128"/>
      <c r="W239" s="128"/>
      <c r="X239" s="128">
        <v>127</v>
      </c>
      <c r="Y239" s="128"/>
      <c r="Z239" s="128"/>
      <c r="AA239" s="128"/>
      <c r="AB239" s="105">
        <f>P239+T239-U239</f>
        <v>175</v>
      </c>
      <c r="AC239" s="128"/>
      <c r="AD239" s="128">
        <f>R239-X239</f>
        <v>155</v>
      </c>
      <c r="AE239" s="128">
        <f>AB239-AC239-AD239</f>
        <v>20</v>
      </c>
      <c r="AF239" s="185"/>
      <c r="AG239" s="185">
        <v>760</v>
      </c>
      <c r="AH239" s="175">
        <f t="shared" ref="AH239" si="92">AI239+AJ239+AK239</f>
        <v>585</v>
      </c>
      <c r="AI239" s="183">
        <f>M239+V239+W239</f>
        <v>270</v>
      </c>
      <c r="AJ239" s="175">
        <f t="shared" si="87"/>
        <v>315</v>
      </c>
      <c r="AK239" s="183"/>
      <c r="AL239" s="183">
        <f t="shared" ref="AL239" si="93">AN239+AO239+AM239</f>
        <v>175</v>
      </c>
      <c r="AM239" s="183"/>
      <c r="AN239" s="183">
        <f t="shared" si="89"/>
        <v>155</v>
      </c>
      <c r="AO239" s="183">
        <v>20</v>
      </c>
      <c r="AP239" s="166"/>
      <c r="AQ239" s="166"/>
      <c r="AR239" s="3"/>
      <c r="AS239" s="3"/>
      <c r="AT239" s="3"/>
      <c r="AU239" s="3"/>
      <c r="AV239" s="3"/>
      <c r="AW239" s="3"/>
      <c r="AX239" s="3"/>
      <c r="AY239" s="3"/>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row>
    <row r="240" spans="1:247" ht="74.25" customHeight="1" x14ac:dyDescent="0.3">
      <c r="A240" s="16">
        <v>5</v>
      </c>
      <c r="B240" s="24" t="s">
        <v>434</v>
      </c>
      <c r="C240" s="25" t="s">
        <v>426</v>
      </c>
      <c r="D240" s="25">
        <v>2021</v>
      </c>
      <c r="E240" s="25">
        <v>2024</v>
      </c>
      <c r="F240" s="25" t="s">
        <v>435</v>
      </c>
      <c r="G240" s="26">
        <f>I240+J240</f>
        <v>5496</v>
      </c>
      <c r="H240" s="126"/>
      <c r="I240" s="126">
        <v>5000</v>
      </c>
      <c r="J240" s="126">
        <v>496</v>
      </c>
      <c r="K240" s="28">
        <f>G240</f>
        <v>5496</v>
      </c>
      <c r="L240" s="104">
        <f>M240+N240+O240</f>
        <v>4150</v>
      </c>
      <c r="M240" s="28"/>
      <c r="N240" s="28">
        <v>3800</v>
      </c>
      <c r="O240" s="28">
        <v>350</v>
      </c>
      <c r="P240" s="28">
        <f>K240-L240</f>
        <v>1346</v>
      </c>
      <c r="Q240" s="28"/>
      <c r="R240" s="28">
        <f t="shared" si="86"/>
        <v>1200</v>
      </c>
      <c r="S240" s="28">
        <f t="shared" si="86"/>
        <v>146</v>
      </c>
      <c r="T240" s="26"/>
      <c r="U240" s="105">
        <f t="shared" si="85"/>
        <v>1090</v>
      </c>
      <c r="V240" s="128"/>
      <c r="W240" s="128"/>
      <c r="X240" s="128">
        <v>1090</v>
      </c>
      <c r="Y240" s="128"/>
      <c r="Z240" s="128"/>
      <c r="AA240" s="128"/>
      <c r="AB240" s="105">
        <f>P240+T240-U240</f>
        <v>256</v>
      </c>
      <c r="AC240" s="128"/>
      <c r="AD240" s="128">
        <f>R240-X240</f>
        <v>110</v>
      </c>
      <c r="AE240" s="128">
        <f>AB240-AC240-AD240</f>
        <v>146</v>
      </c>
      <c r="AF240" s="185"/>
      <c r="AG240" s="185">
        <v>5496</v>
      </c>
      <c r="AH240" s="175">
        <f>U240+L240</f>
        <v>5240</v>
      </c>
      <c r="AI240" s="183"/>
      <c r="AJ240" s="175">
        <f t="shared" si="87"/>
        <v>4890</v>
      </c>
      <c r="AK240" s="183">
        <f>O240+Z240+AA240</f>
        <v>350</v>
      </c>
      <c r="AL240" s="183">
        <f>AG240-AH240</f>
        <v>256</v>
      </c>
      <c r="AM240" s="183"/>
      <c r="AN240" s="183">
        <f t="shared" si="89"/>
        <v>110</v>
      </c>
      <c r="AO240" s="183">
        <f t="shared" si="88"/>
        <v>146</v>
      </c>
      <c r="AP240" s="166"/>
      <c r="AQ240" s="166"/>
      <c r="AR240" s="3"/>
      <c r="AS240" s="3"/>
      <c r="AT240" s="3"/>
      <c r="AU240" s="3"/>
      <c r="AV240" s="3"/>
      <c r="AW240" s="3"/>
      <c r="AX240" s="3"/>
      <c r="AY240" s="3"/>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row>
    <row r="241" spans="1:247" ht="74.25" customHeight="1" x14ac:dyDescent="0.3">
      <c r="A241" s="16">
        <v>6</v>
      </c>
      <c r="B241" s="24" t="s">
        <v>436</v>
      </c>
      <c r="C241" s="25" t="s">
        <v>426</v>
      </c>
      <c r="D241" s="25">
        <v>2021</v>
      </c>
      <c r="E241" s="25">
        <v>2023</v>
      </c>
      <c r="F241" s="25" t="s">
        <v>437</v>
      </c>
      <c r="G241" s="26">
        <v>12308</v>
      </c>
      <c r="H241" s="126">
        <v>10000</v>
      </c>
      <c r="I241" s="126">
        <v>2308</v>
      </c>
      <c r="J241" s="126"/>
      <c r="K241" s="28">
        <v>10158</v>
      </c>
      <c r="L241" s="104">
        <f t="shared" ref="L241" si="94">M241+N241+O241</f>
        <v>10000</v>
      </c>
      <c r="M241" s="28">
        <v>10000</v>
      </c>
      <c r="N241" s="28"/>
      <c r="O241" s="28"/>
      <c r="P241" s="28">
        <f t="shared" ref="P241" si="95">K241-L241</f>
        <v>158</v>
      </c>
      <c r="Q241" s="28"/>
      <c r="R241" s="28">
        <f>P241</f>
        <v>158</v>
      </c>
      <c r="S241" s="28">
        <f t="shared" si="86"/>
        <v>0</v>
      </c>
      <c r="T241" s="26"/>
      <c r="U241" s="105">
        <f t="shared" si="85"/>
        <v>633</v>
      </c>
      <c r="V241" s="128"/>
      <c r="W241" s="128"/>
      <c r="X241" s="128"/>
      <c r="Y241" s="128">
        <v>633</v>
      </c>
      <c r="Z241" s="128"/>
      <c r="AA241" s="128"/>
      <c r="AB241" s="105"/>
      <c r="AC241" s="128"/>
      <c r="AD241" s="128"/>
      <c r="AE241" s="128"/>
      <c r="AF241" s="185"/>
      <c r="AG241" s="185"/>
      <c r="AH241" s="175">
        <f t="shared" ref="AH241" si="96">AI241+AJ241+AK241</f>
        <v>10633</v>
      </c>
      <c r="AI241" s="183">
        <f>M241+V241+W241</f>
        <v>10000</v>
      </c>
      <c r="AJ241" s="175">
        <f t="shared" si="87"/>
        <v>633</v>
      </c>
      <c r="AK241" s="183"/>
      <c r="AL241" s="183">
        <f>AN241+AO241+AM241</f>
        <v>1675</v>
      </c>
      <c r="AM241" s="183"/>
      <c r="AN241" s="183">
        <f>I241-AJ241</f>
        <v>1675</v>
      </c>
      <c r="AO241" s="183">
        <f t="shared" si="88"/>
        <v>0</v>
      </c>
      <c r="AP241" s="166"/>
      <c r="AQ241" s="166"/>
      <c r="AR241" s="3"/>
      <c r="AS241" s="3"/>
      <c r="AT241" s="3"/>
      <c r="AU241" s="3"/>
      <c r="AV241" s="3"/>
      <c r="AW241" s="3"/>
      <c r="AX241" s="3"/>
      <c r="AY241" s="3"/>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row>
    <row r="242" spans="1:247" ht="74.25" customHeight="1" x14ac:dyDescent="0.3">
      <c r="A242" s="16">
        <v>7</v>
      </c>
      <c r="B242" s="24" t="s">
        <v>438</v>
      </c>
      <c r="C242" s="25" t="s">
        <v>426</v>
      </c>
      <c r="D242" s="25">
        <v>2022</v>
      </c>
      <c r="E242" s="25">
        <v>2023</v>
      </c>
      <c r="F242" s="25" t="s">
        <v>439</v>
      </c>
      <c r="G242" s="26">
        <f>H242+I242+J242</f>
        <v>1992</v>
      </c>
      <c r="H242" s="126"/>
      <c r="I242" s="126">
        <v>1400</v>
      </c>
      <c r="J242" s="126">
        <v>592</v>
      </c>
      <c r="K242" s="28">
        <v>1987</v>
      </c>
      <c r="L242" s="104">
        <f>M242+N242+O242</f>
        <v>600</v>
      </c>
      <c r="M242" s="28"/>
      <c r="N242" s="28">
        <v>600</v>
      </c>
      <c r="O242" s="28"/>
      <c r="P242" s="28">
        <f>K242-L242</f>
        <v>1387</v>
      </c>
      <c r="Q242" s="28"/>
      <c r="R242" s="28">
        <f>I242-N242</f>
        <v>800</v>
      </c>
      <c r="S242" s="28">
        <f>P242-R242</f>
        <v>587</v>
      </c>
      <c r="T242" s="26"/>
      <c r="U242" s="105">
        <v>158</v>
      </c>
      <c r="V242" s="128"/>
      <c r="W242" s="128"/>
      <c r="X242" s="128">
        <v>158</v>
      </c>
      <c r="Y242" s="128"/>
      <c r="Z242" s="128"/>
      <c r="AA242" s="128"/>
      <c r="AB242" s="105">
        <f>P242+T242-U242</f>
        <v>1229</v>
      </c>
      <c r="AC242" s="128"/>
      <c r="AD242" s="128">
        <f>R242-X242</f>
        <v>642</v>
      </c>
      <c r="AE242" s="128">
        <f>S242-AA242</f>
        <v>587</v>
      </c>
      <c r="AF242" s="185"/>
      <c r="AG242" s="185">
        <v>1987</v>
      </c>
      <c r="AH242" s="175">
        <f>U242+L242</f>
        <v>758</v>
      </c>
      <c r="AI242" s="183"/>
      <c r="AJ242" s="175">
        <f t="shared" si="87"/>
        <v>758</v>
      </c>
      <c r="AK242" s="183"/>
      <c r="AL242" s="183">
        <f>AG242-AH242</f>
        <v>1229</v>
      </c>
      <c r="AM242" s="183"/>
      <c r="AN242" s="183">
        <f t="shared" si="89"/>
        <v>642</v>
      </c>
      <c r="AO242" s="183">
        <v>587</v>
      </c>
      <c r="AP242" s="166"/>
      <c r="AQ242" s="166"/>
      <c r="AR242" s="3"/>
      <c r="AS242" s="3"/>
      <c r="AT242" s="3"/>
      <c r="AU242" s="3"/>
      <c r="AV242" s="3"/>
      <c r="AW242" s="3"/>
      <c r="AX242" s="3"/>
      <c r="AY242" s="3"/>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row>
    <row r="243" spans="1:247" ht="74.25" customHeight="1" x14ac:dyDescent="0.3">
      <c r="A243" s="16">
        <v>8</v>
      </c>
      <c r="B243" s="24" t="s">
        <v>440</v>
      </c>
      <c r="C243" s="25" t="s">
        <v>426</v>
      </c>
      <c r="D243" s="25">
        <v>2022</v>
      </c>
      <c r="E243" s="25">
        <v>2024</v>
      </c>
      <c r="F243" s="25" t="s">
        <v>441</v>
      </c>
      <c r="G243" s="26">
        <f>I243+J243</f>
        <v>1902</v>
      </c>
      <c r="H243" s="126"/>
      <c r="I243" s="126">
        <v>1200</v>
      </c>
      <c r="J243" s="126">
        <v>702</v>
      </c>
      <c r="K243" s="28">
        <v>1902</v>
      </c>
      <c r="L243" s="104">
        <f>M243+N243+O243</f>
        <v>560</v>
      </c>
      <c r="M243" s="28"/>
      <c r="N243" s="28">
        <v>560</v>
      </c>
      <c r="O243" s="28"/>
      <c r="P243" s="28">
        <f>K243-L243</f>
        <v>1342</v>
      </c>
      <c r="Q243" s="28"/>
      <c r="R243" s="28">
        <f>I243-N243</f>
        <v>640</v>
      </c>
      <c r="S243" s="28">
        <f>P243-R243</f>
        <v>702</v>
      </c>
      <c r="T243" s="26"/>
      <c r="U243" s="105">
        <v>126</v>
      </c>
      <c r="V243" s="128"/>
      <c r="W243" s="128"/>
      <c r="X243" s="128">
        <v>126</v>
      </c>
      <c r="Y243" s="128"/>
      <c r="Z243" s="128"/>
      <c r="AA243" s="128"/>
      <c r="AB243" s="105">
        <f>P243+T243-U243</f>
        <v>1216</v>
      </c>
      <c r="AC243" s="128"/>
      <c r="AD243" s="128">
        <f>R243-X243</f>
        <v>514</v>
      </c>
      <c r="AE243" s="128">
        <f>S243-AA243</f>
        <v>702</v>
      </c>
      <c r="AF243" s="185">
        <v>1902</v>
      </c>
      <c r="AG243" s="185"/>
      <c r="AH243" s="175">
        <f>U243+L243</f>
        <v>686</v>
      </c>
      <c r="AI243" s="183"/>
      <c r="AJ243" s="175">
        <f t="shared" si="87"/>
        <v>686</v>
      </c>
      <c r="AK243" s="183"/>
      <c r="AL243" s="183">
        <f>AF243-AH243</f>
        <v>1216</v>
      </c>
      <c r="AM243" s="183"/>
      <c r="AN243" s="183">
        <f t="shared" si="89"/>
        <v>514</v>
      </c>
      <c r="AO243" s="183">
        <f t="shared" si="88"/>
        <v>702</v>
      </c>
      <c r="AP243" s="166"/>
      <c r="AQ243" s="166"/>
      <c r="AR243" s="3"/>
      <c r="AS243" s="3"/>
      <c r="AT243" s="3"/>
      <c r="AU243" s="3"/>
      <c r="AV243" s="3"/>
      <c r="AW243" s="3"/>
      <c r="AX243" s="3"/>
      <c r="AY243" s="3"/>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row>
    <row r="244" spans="1:247" ht="74.25" customHeight="1" x14ac:dyDescent="0.3">
      <c r="A244" s="16">
        <v>9</v>
      </c>
      <c r="B244" s="24" t="s">
        <v>442</v>
      </c>
      <c r="C244" s="25" t="s">
        <v>426</v>
      </c>
      <c r="D244" s="25">
        <v>2022</v>
      </c>
      <c r="E244" s="25">
        <v>2024</v>
      </c>
      <c r="F244" s="25" t="s">
        <v>443</v>
      </c>
      <c r="G244" s="26">
        <v>1912</v>
      </c>
      <c r="H244" s="126"/>
      <c r="I244" s="126">
        <v>1912</v>
      </c>
      <c r="J244" s="126"/>
      <c r="K244" s="28">
        <v>1912</v>
      </c>
      <c r="L244" s="104">
        <f>M244+N244+O244</f>
        <v>700</v>
      </c>
      <c r="M244" s="28"/>
      <c r="N244" s="28">
        <v>700</v>
      </c>
      <c r="O244" s="28"/>
      <c r="P244" s="28">
        <f>K244-L244</f>
        <v>1212</v>
      </c>
      <c r="Q244" s="28"/>
      <c r="R244" s="28">
        <f>I244-N244</f>
        <v>1212</v>
      </c>
      <c r="S244" s="28">
        <f t="shared" si="86"/>
        <v>0</v>
      </c>
      <c r="T244" s="26"/>
      <c r="U244" s="105">
        <v>176</v>
      </c>
      <c r="V244" s="128"/>
      <c r="W244" s="128"/>
      <c r="X244" s="128">
        <v>176</v>
      </c>
      <c r="Y244" s="128"/>
      <c r="Z244" s="128"/>
      <c r="AA244" s="128"/>
      <c r="AB244" s="105">
        <f>P244+T244-U244</f>
        <v>1036</v>
      </c>
      <c r="AC244" s="128"/>
      <c r="AD244" s="128">
        <f>R244-X244</f>
        <v>1036</v>
      </c>
      <c r="AE244" s="128"/>
      <c r="AF244" s="185">
        <v>1912</v>
      </c>
      <c r="AG244" s="185"/>
      <c r="AH244" s="175">
        <f>U244+L244</f>
        <v>876</v>
      </c>
      <c r="AI244" s="183"/>
      <c r="AJ244" s="175">
        <f t="shared" si="87"/>
        <v>876</v>
      </c>
      <c r="AK244" s="183"/>
      <c r="AL244" s="183">
        <f>G244-AH244</f>
        <v>1036</v>
      </c>
      <c r="AM244" s="183"/>
      <c r="AN244" s="183">
        <f t="shared" si="89"/>
        <v>1036</v>
      </c>
      <c r="AO244" s="183">
        <f t="shared" si="88"/>
        <v>0</v>
      </c>
      <c r="AP244" s="166"/>
      <c r="AQ244" s="166"/>
      <c r="AR244" s="3"/>
      <c r="AS244" s="3"/>
      <c r="AT244" s="3"/>
      <c r="AU244" s="3"/>
      <c r="AV244" s="3"/>
      <c r="AW244" s="3"/>
      <c r="AX244" s="3"/>
      <c r="AY244" s="3"/>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row>
    <row r="245" spans="1:247" ht="74.25" customHeight="1" x14ac:dyDescent="0.3">
      <c r="A245" s="16">
        <v>10</v>
      </c>
      <c r="B245" s="24" t="s">
        <v>444</v>
      </c>
      <c r="C245" s="25" t="s">
        <v>426</v>
      </c>
      <c r="D245" s="25">
        <v>2023</v>
      </c>
      <c r="E245" s="25">
        <v>2025</v>
      </c>
      <c r="F245" s="25" t="s">
        <v>445</v>
      </c>
      <c r="G245" s="26">
        <v>5000</v>
      </c>
      <c r="H245" s="126"/>
      <c r="I245" s="126">
        <v>4500</v>
      </c>
      <c r="J245" s="126">
        <v>500</v>
      </c>
      <c r="K245" s="28"/>
      <c r="L245" s="104">
        <f>M245+N245+O245</f>
        <v>500</v>
      </c>
      <c r="M245" s="28"/>
      <c r="N245" s="28">
        <v>500</v>
      </c>
      <c r="O245" s="28"/>
      <c r="P245" s="28"/>
      <c r="Q245" s="28"/>
      <c r="R245" s="28"/>
      <c r="S245" s="28"/>
      <c r="T245" s="26">
        <v>651</v>
      </c>
      <c r="U245" s="105">
        <v>100</v>
      </c>
      <c r="V245" s="128"/>
      <c r="W245" s="128"/>
      <c r="X245" s="128">
        <v>100</v>
      </c>
      <c r="Y245" s="128"/>
      <c r="Z245" s="128"/>
      <c r="AA245" s="128"/>
      <c r="AB245" s="105">
        <f>P245+T245-U245-L245</f>
        <v>51</v>
      </c>
      <c r="AC245" s="128"/>
      <c r="AD245" s="128"/>
      <c r="AE245" s="128">
        <v>51</v>
      </c>
      <c r="AF245" s="185"/>
      <c r="AG245" s="185"/>
      <c r="AH245" s="175">
        <f>U245+L245</f>
        <v>600</v>
      </c>
      <c r="AI245" s="183"/>
      <c r="AJ245" s="175">
        <f t="shared" si="87"/>
        <v>600</v>
      </c>
      <c r="AK245" s="183"/>
      <c r="AL245" s="183">
        <f>G245-AH245</f>
        <v>4400</v>
      </c>
      <c r="AM245" s="183"/>
      <c r="AN245" s="183">
        <f>I245-AH245</f>
        <v>3900</v>
      </c>
      <c r="AO245" s="183">
        <f t="shared" si="88"/>
        <v>500</v>
      </c>
      <c r="AP245" s="166"/>
      <c r="AQ245" s="166"/>
      <c r="AR245" s="3"/>
      <c r="AS245" s="3"/>
      <c r="AT245" s="3"/>
      <c r="AU245" s="3"/>
      <c r="AV245" s="3"/>
      <c r="AW245" s="3"/>
      <c r="AX245" s="3"/>
      <c r="AY245" s="3"/>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row>
    <row r="246" spans="1:247" ht="27" customHeight="1" x14ac:dyDescent="0.3">
      <c r="A246" s="140" t="s">
        <v>71</v>
      </c>
      <c r="B246" s="141" t="s">
        <v>446</v>
      </c>
      <c r="C246" s="142"/>
      <c r="D246" s="142"/>
      <c r="E246" s="142"/>
      <c r="F246" s="142"/>
      <c r="G246" s="88">
        <f>SUM(G247:G250)</f>
        <v>4525</v>
      </c>
      <c r="H246" s="88">
        <f t="shared" ref="H246:AO246" si="97">SUM(H247:H250)</f>
        <v>2767</v>
      </c>
      <c r="I246" s="88">
        <f t="shared" si="97"/>
        <v>500</v>
      </c>
      <c r="J246" s="88">
        <f t="shared" si="97"/>
        <v>1258</v>
      </c>
      <c r="K246" s="88">
        <f t="shared" si="97"/>
        <v>0</v>
      </c>
      <c r="L246" s="88">
        <f t="shared" si="97"/>
        <v>1772</v>
      </c>
      <c r="M246" s="88">
        <f t="shared" si="97"/>
        <v>1772</v>
      </c>
      <c r="N246" s="88">
        <f t="shared" si="97"/>
        <v>0</v>
      </c>
      <c r="O246" s="88">
        <f t="shared" si="97"/>
        <v>0</v>
      </c>
      <c r="P246" s="88">
        <f t="shared" si="97"/>
        <v>0</v>
      </c>
      <c r="Q246" s="88">
        <f t="shared" si="97"/>
        <v>0</v>
      </c>
      <c r="R246" s="88">
        <f t="shared" si="97"/>
        <v>0</v>
      </c>
      <c r="S246" s="88">
        <f t="shared" si="97"/>
        <v>0</v>
      </c>
      <c r="T246" s="88">
        <f t="shared" si="97"/>
        <v>1775</v>
      </c>
      <c r="U246" s="88">
        <f t="shared" si="97"/>
        <v>520</v>
      </c>
      <c r="V246" s="88">
        <f t="shared" si="97"/>
        <v>0</v>
      </c>
      <c r="W246" s="88">
        <f t="shared" si="97"/>
        <v>520</v>
      </c>
      <c r="X246" s="88">
        <f t="shared" si="97"/>
        <v>0</v>
      </c>
      <c r="Y246" s="88">
        <f t="shared" si="97"/>
        <v>0</v>
      </c>
      <c r="Z246" s="88">
        <f t="shared" si="97"/>
        <v>0</v>
      </c>
      <c r="AA246" s="88">
        <f t="shared" si="97"/>
        <v>0</v>
      </c>
      <c r="AB246" s="88">
        <f t="shared" si="97"/>
        <v>655</v>
      </c>
      <c r="AC246" s="88">
        <f t="shared" si="97"/>
        <v>230</v>
      </c>
      <c r="AD246" s="88">
        <f t="shared" si="97"/>
        <v>100</v>
      </c>
      <c r="AE246" s="88">
        <f t="shared" si="97"/>
        <v>325</v>
      </c>
      <c r="AF246" s="189">
        <f t="shared" si="97"/>
        <v>1700</v>
      </c>
      <c r="AG246" s="189">
        <f t="shared" si="97"/>
        <v>1125</v>
      </c>
      <c r="AH246" s="189">
        <f t="shared" si="97"/>
        <v>2292</v>
      </c>
      <c r="AI246" s="189">
        <f t="shared" si="97"/>
        <v>2292</v>
      </c>
      <c r="AJ246" s="189">
        <f t="shared" si="97"/>
        <v>0</v>
      </c>
      <c r="AK246" s="189">
        <f t="shared" si="97"/>
        <v>0</v>
      </c>
      <c r="AL246" s="189">
        <f t="shared" si="97"/>
        <v>2233</v>
      </c>
      <c r="AM246" s="189">
        <f t="shared" si="97"/>
        <v>475</v>
      </c>
      <c r="AN246" s="189">
        <f t="shared" si="97"/>
        <v>500</v>
      </c>
      <c r="AO246" s="189">
        <f t="shared" si="97"/>
        <v>1258</v>
      </c>
      <c r="AP246" s="166"/>
      <c r="AQ246" s="166"/>
      <c r="AR246" s="3"/>
      <c r="AS246" s="3"/>
      <c r="AT246" s="3"/>
      <c r="AU246" s="3"/>
      <c r="AV246" s="3"/>
      <c r="AW246" s="3"/>
      <c r="AX246" s="3"/>
      <c r="AY246" s="3"/>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row>
    <row r="247" spans="1:247" ht="74.25" customHeight="1" x14ac:dyDescent="0.3">
      <c r="A247" s="16">
        <v>1</v>
      </c>
      <c r="B247" s="24" t="s">
        <v>447</v>
      </c>
      <c r="C247" s="25" t="s">
        <v>426</v>
      </c>
      <c r="D247" s="25">
        <v>2023</v>
      </c>
      <c r="E247" s="25">
        <v>2024</v>
      </c>
      <c r="F247" s="25" t="s">
        <v>448</v>
      </c>
      <c r="G247" s="26">
        <f>H247+I247+J247</f>
        <v>1700</v>
      </c>
      <c r="H247" s="126">
        <v>867</v>
      </c>
      <c r="I247" s="126">
        <v>200</v>
      </c>
      <c r="J247" s="126">
        <v>633</v>
      </c>
      <c r="K247" s="28"/>
      <c r="L247" s="104">
        <f>M247+N247+O247</f>
        <v>772</v>
      </c>
      <c r="M247" s="28">
        <f>574+198</f>
        <v>772</v>
      </c>
      <c r="N247" s="28"/>
      <c r="O247" s="28"/>
      <c r="P247" s="28"/>
      <c r="Q247" s="28"/>
      <c r="R247" s="28"/>
      <c r="S247" s="28"/>
      <c r="T247" s="26"/>
      <c r="U247" s="105"/>
      <c r="V247" s="128"/>
      <c r="W247" s="128"/>
      <c r="X247" s="128"/>
      <c r="Y247" s="128"/>
      <c r="Z247" s="128"/>
      <c r="AA247" s="128"/>
      <c r="AB247" s="105"/>
      <c r="AC247" s="128"/>
      <c r="AD247" s="128"/>
      <c r="AE247" s="128"/>
      <c r="AF247" s="185"/>
      <c r="AG247" s="185"/>
      <c r="AH247" s="175">
        <f>U247+L247</f>
        <v>772</v>
      </c>
      <c r="AI247" s="183">
        <f>M247+W247</f>
        <v>772</v>
      </c>
      <c r="AJ247" s="175"/>
      <c r="AK247" s="183"/>
      <c r="AL247" s="183">
        <f>G247-AH247</f>
        <v>928</v>
      </c>
      <c r="AM247" s="183">
        <f>AL247-AN247-AO247</f>
        <v>95</v>
      </c>
      <c r="AN247" s="183">
        <f t="shared" si="89"/>
        <v>200</v>
      </c>
      <c r="AO247" s="183">
        <f t="shared" si="88"/>
        <v>633</v>
      </c>
      <c r="AP247" s="166"/>
      <c r="AQ247" s="166"/>
      <c r="AR247" s="3"/>
      <c r="AS247" s="3"/>
      <c r="AT247" s="3"/>
      <c r="AU247" s="3"/>
      <c r="AV247" s="3"/>
      <c r="AW247" s="3"/>
      <c r="AX247" s="3"/>
      <c r="AY247" s="3"/>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row>
    <row r="248" spans="1:247" ht="74.25" customHeight="1" x14ac:dyDescent="0.3">
      <c r="A248" s="16">
        <v>2</v>
      </c>
      <c r="B248" s="24" t="s">
        <v>449</v>
      </c>
      <c r="C248" s="25" t="s">
        <v>426</v>
      </c>
      <c r="D248" s="25">
        <v>2023</v>
      </c>
      <c r="E248" s="25">
        <v>2024</v>
      </c>
      <c r="F248" s="25" t="s">
        <v>450</v>
      </c>
      <c r="G248" s="26">
        <f>H248+J248+I248</f>
        <v>1100</v>
      </c>
      <c r="H248" s="126">
        <v>700</v>
      </c>
      <c r="I248" s="126">
        <v>100</v>
      </c>
      <c r="J248" s="126">
        <v>300</v>
      </c>
      <c r="K248" s="28"/>
      <c r="L248" s="104">
        <f t="shared" ref="L248:L250" si="98">M248+N248+O248</f>
        <v>320</v>
      </c>
      <c r="M248" s="28">
        <v>320</v>
      </c>
      <c r="N248" s="28"/>
      <c r="O248" s="28"/>
      <c r="P248" s="28"/>
      <c r="Q248" s="28"/>
      <c r="R248" s="28"/>
      <c r="S248" s="28"/>
      <c r="T248" s="26">
        <v>650</v>
      </c>
      <c r="U248" s="105">
        <v>200</v>
      </c>
      <c r="V248" s="128"/>
      <c r="W248" s="128">
        <v>200</v>
      </c>
      <c r="X248" s="128"/>
      <c r="Y248" s="128"/>
      <c r="Z248" s="128"/>
      <c r="AA248" s="128"/>
      <c r="AB248" s="105">
        <f>T248-U248-L248</f>
        <v>130</v>
      </c>
      <c r="AC248" s="128">
        <f>AB248</f>
        <v>130</v>
      </c>
      <c r="AD248" s="128"/>
      <c r="AE248" s="128"/>
      <c r="AF248" s="185">
        <v>1100</v>
      </c>
      <c r="AG248" s="185"/>
      <c r="AH248" s="175">
        <f>U248+L248</f>
        <v>520</v>
      </c>
      <c r="AI248" s="183">
        <f>M248+W248</f>
        <v>520</v>
      </c>
      <c r="AJ248" s="175"/>
      <c r="AK248" s="183"/>
      <c r="AL248" s="183">
        <f>G248-AH248</f>
        <v>580</v>
      </c>
      <c r="AM248" s="183">
        <f>H248-AI248</f>
        <v>180</v>
      </c>
      <c r="AN248" s="183">
        <v>100</v>
      </c>
      <c r="AO248" s="183">
        <v>300</v>
      </c>
      <c r="AP248" s="166"/>
      <c r="AQ248" s="166"/>
      <c r="AR248" s="3"/>
      <c r="AS248" s="3"/>
      <c r="AT248" s="3"/>
      <c r="AU248" s="3"/>
      <c r="AV248" s="3"/>
      <c r="AW248" s="3"/>
      <c r="AX248" s="3"/>
      <c r="AY248" s="3"/>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row>
    <row r="249" spans="1:247" ht="74.25" customHeight="1" x14ac:dyDescent="0.3">
      <c r="A249" s="16">
        <v>3</v>
      </c>
      <c r="B249" s="24" t="s">
        <v>451</v>
      </c>
      <c r="C249" s="25" t="s">
        <v>426</v>
      </c>
      <c r="D249" s="25">
        <v>2023</v>
      </c>
      <c r="E249" s="25">
        <v>2024</v>
      </c>
      <c r="F249" s="25" t="s">
        <v>452</v>
      </c>
      <c r="G249" s="26">
        <v>600</v>
      </c>
      <c r="H249" s="126">
        <v>500</v>
      </c>
      <c r="I249" s="126">
        <v>100</v>
      </c>
      <c r="J249" s="126"/>
      <c r="K249" s="28"/>
      <c r="L249" s="104">
        <f t="shared" si="98"/>
        <v>270</v>
      </c>
      <c r="M249" s="28">
        <v>270</v>
      </c>
      <c r="N249" s="28"/>
      <c r="O249" s="28"/>
      <c r="P249" s="28"/>
      <c r="Q249" s="28"/>
      <c r="R249" s="28"/>
      <c r="S249" s="28"/>
      <c r="T249" s="26"/>
      <c r="U249" s="105">
        <v>130</v>
      </c>
      <c r="V249" s="128"/>
      <c r="W249" s="128">
        <v>130</v>
      </c>
      <c r="X249" s="128"/>
      <c r="Y249" s="128"/>
      <c r="Z249" s="128"/>
      <c r="AA249" s="128"/>
      <c r="AB249" s="105"/>
      <c r="AC249" s="128"/>
      <c r="AD249" s="128"/>
      <c r="AE249" s="128"/>
      <c r="AF249" s="185">
        <v>600</v>
      </c>
      <c r="AG249" s="185"/>
      <c r="AH249" s="175">
        <f t="shared" ref="AH249:AH250" si="99">U249+L249</f>
        <v>400</v>
      </c>
      <c r="AI249" s="183">
        <f t="shared" ref="AI249:AI250" si="100">M249+W249</f>
        <v>400</v>
      </c>
      <c r="AJ249" s="175"/>
      <c r="AK249" s="183"/>
      <c r="AL249" s="183">
        <f>G249-AH249</f>
        <v>200</v>
      </c>
      <c r="AM249" s="183">
        <v>100</v>
      </c>
      <c r="AN249" s="183">
        <f t="shared" si="89"/>
        <v>100</v>
      </c>
      <c r="AO249" s="183">
        <f t="shared" si="88"/>
        <v>0</v>
      </c>
      <c r="AP249" s="166"/>
      <c r="AQ249" s="166"/>
      <c r="AR249" s="3"/>
      <c r="AS249" s="3"/>
      <c r="AT249" s="3"/>
      <c r="AU249" s="3"/>
      <c r="AV249" s="3"/>
      <c r="AW249" s="3"/>
      <c r="AX249" s="3"/>
      <c r="AY249" s="3"/>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row>
    <row r="250" spans="1:247" ht="74.25" customHeight="1" x14ac:dyDescent="0.3">
      <c r="A250" s="16">
        <v>4</v>
      </c>
      <c r="B250" s="24" t="s">
        <v>453</v>
      </c>
      <c r="C250" s="25" t="s">
        <v>426</v>
      </c>
      <c r="D250" s="25">
        <v>2022</v>
      </c>
      <c r="E250" s="25">
        <v>2024</v>
      </c>
      <c r="F250" s="25" t="s">
        <v>454</v>
      </c>
      <c r="G250" s="26">
        <f>H250+I250+J250</f>
        <v>1125</v>
      </c>
      <c r="H250" s="126">
        <v>700</v>
      </c>
      <c r="I250" s="126">
        <v>100</v>
      </c>
      <c r="J250" s="126">
        <v>325</v>
      </c>
      <c r="K250" s="28"/>
      <c r="L250" s="104">
        <f t="shared" si="98"/>
        <v>410</v>
      </c>
      <c r="M250" s="28">
        <v>410</v>
      </c>
      <c r="N250" s="28"/>
      <c r="O250" s="28"/>
      <c r="P250" s="28"/>
      <c r="Q250" s="28"/>
      <c r="R250" s="28"/>
      <c r="S250" s="28"/>
      <c r="T250" s="26">
        <v>1125</v>
      </c>
      <c r="U250" s="105">
        <v>190</v>
      </c>
      <c r="V250" s="128"/>
      <c r="W250" s="128">
        <v>190</v>
      </c>
      <c r="X250" s="128"/>
      <c r="Y250" s="128"/>
      <c r="Z250" s="128"/>
      <c r="AA250" s="128"/>
      <c r="AB250" s="105">
        <f>T250-U250-L250</f>
        <v>525</v>
      </c>
      <c r="AC250" s="128">
        <f>H250-M250-W250</f>
        <v>100</v>
      </c>
      <c r="AD250" s="128">
        <f>I250</f>
        <v>100</v>
      </c>
      <c r="AE250" s="128">
        <f>J250</f>
        <v>325</v>
      </c>
      <c r="AF250" s="185"/>
      <c r="AG250" s="185">
        <v>1125</v>
      </c>
      <c r="AH250" s="175">
        <f t="shared" si="99"/>
        <v>600</v>
      </c>
      <c r="AI250" s="183">
        <f t="shared" si="100"/>
        <v>600</v>
      </c>
      <c r="AJ250" s="175"/>
      <c r="AK250" s="183"/>
      <c r="AL250" s="183">
        <f>AG250-AH250</f>
        <v>525</v>
      </c>
      <c r="AM250" s="183">
        <v>100</v>
      </c>
      <c r="AN250" s="183">
        <f t="shared" si="89"/>
        <v>100</v>
      </c>
      <c r="AO250" s="183">
        <f t="shared" si="88"/>
        <v>325</v>
      </c>
      <c r="AP250" s="166"/>
      <c r="AQ250" s="166"/>
      <c r="AR250" s="3"/>
      <c r="AS250" s="3"/>
      <c r="AT250" s="3"/>
      <c r="AU250" s="3"/>
      <c r="AV250" s="3"/>
      <c r="AW250" s="3"/>
      <c r="AX250" s="3"/>
      <c r="AY250" s="3"/>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row>
    <row r="251" spans="1:247" ht="18" customHeight="1" x14ac:dyDescent="0.3">
      <c r="A251" s="16">
        <v>10</v>
      </c>
      <c r="B251" s="70" t="s">
        <v>455</v>
      </c>
      <c r="C251" s="20"/>
      <c r="D251" s="20"/>
      <c r="E251" s="20"/>
      <c r="F251" s="20"/>
      <c r="G251" s="21">
        <f t="shared" ref="G251:AO251" si="101">G252+G262</f>
        <v>50707</v>
      </c>
      <c r="H251" s="21">
        <f t="shared" si="101"/>
        <v>20396</v>
      </c>
      <c r="I251" s="21">
        <f t="shared" si="101"/>
        <v>20008.5</v>
      </c>
      <c r="J251" s="21">
        <f t="shared" si="101"/>
        <v>10301.5</v>
      </c>
      <c r="K251" s="21">
        <f t="shared" si="101"/>
        <v>42545</v>
      </c>
      <c r="L251" s="21">
        <f t="shared" si="101"/>
        <v>29258</v>
      </c>
      <c r="M251" s="21">
        <f t="shared" si="101"/>
        <v>19226</v>
      </c>
      <c r="N251" s="21">
        <f t="shared" si="101"/>
        <v>8478</v>
      </c>
      <c r="O251" s="21">
        <f t="shared" si="101"/>
        <v>1554</v>
      </c>
      <c r="P251" s="21">
        <f t="shared" si="101"/>
        <v>13487</v>
      </c>
      <c r="Q251" s="21">
        <f t="shared" si="101"/>
        <v>1170</v>
      </c>
      <c r="R251" s="21">
        <f t="shared" si="101"/>
        <v>7096.5</v>
      </c>
      <c r="S251" s="21">
        <f t="shared" si="101"/>
        <v>5220.5</v>
      </c>
      <c r="T251" s="21">
        <f t="shared" si="101"/>
        <v>809</v>
      </c>
      <c r="U251" s="21">
        <f t="shared" si="101"/>
        <v>3684</v>
      </c>
      <c r="V251" s="21">
        <f t="shared" si="101"/>
        <v>718</v>
      </c>
      <c r="W251" s="21">
        <f t="shared" si="101"/>
        <v>0</v>
      </c>
      <c r="X251" s="21">
        <f t="shared" si="101"/>
        <v>2228</v>
      </c>
      <c r="Y251" s="21">
        <f t="shared" si="101"/>
        <v>20</v>
      </c>
      <c r="Z251" s="21">
        <f t="shared" si="101"/>
        <v>718</v>
      </c>
      <c r="AA251" s="21">
        <f t="shared" si="101"/>
        <v>0</v>
      </c>
      <c r="AB251" s="21">
        <f t="shared" si="101"/>
        <v>10412</v>
      </c>
      <c r="AC251" s="21">
        <f t="shared" si="101"/>
        <v>452</v>
      </c>
      <c r="AD251" s="21">
        <f t="shared" si="101"/>
        <v>5436.5</v>
      </c>
      <c r="AE251" s="21">
        <f t="shared" si="101"/>
        <v>4523.5</v>
      </c>
      <c r="AF251" s="173">
        <f t="shared" si="101"/>
        <v>8666</v>
      </c>
      <c r="AG251" s="173">
        <f t="shared" si="101"/>
        <v>34688</v>
      </c>
      <c r="AH251" s="173">
        <f t="shared" si="101"/>
        <v>32942</v>
      </c>
      <c r="AI251" s="173">
        <f t="shared" si="101"/>
        <v>19944</v>
      </c>
      <c r="AJ251" s="173">
        <f t="shared" si="101"/>
        <v>10726</v>
      </c>
      <c r="AK251" s="173">
        <f t="shared" si="101"/>
        <v>2272</v>
      </c>
      <c r="AL251" s="173">
        <f t="shared" si="101"/>
        <v>15430</v>
      </c>
      <c r="AM251" s="173">
        <f t="shared" si="101"/>
        <v>452</v>
      </c>
      <c r="AN251" s="173">
        <f t="shared" si="101"/>
        <v>8969.5</v>
      </c>
      <c r="AO251" s="173">
        <f t="shared" si="101"/>
        <v>6008.5</v>
      </c>
      <c r="AP251" s="166"/>
      <c r="AQ251" s="166"/>
      <c r="AR251" s="3"/>
      <c r="AS251" s="3"/>
      <c r="AT251" s="3"/>
      <c r="AU251" s="3"/>
      <c r="AV251" s="3"/>
      <c r="AW251" s="3"/>
      <c r="AX251" s="3"/>
      <c r="AY251" s="3"/>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c r="IE251" s="4"/>
      <c r="IF251" s="4"/>
      <c r="IG251" s="4"/>
      <c r="IH251" s="4"/>
      <c r="II251" s="4"/>
      <c r="IJ251" s="4"/>
      <c r="IK251" s="4"/>
      <c r="IL251" s="4"/>
      <c r="IM251" s="4"/>
    </row>
    <row r="252" spans="1:247" ht="34.950000000000003" customHeight="1" x14ac:dyDescent="0.3">
      <c r="A252" s="23" t="s">
        <v>42</v>
      </c>
      <c r="B252" s="74" t="s">
        <v>43</v>
      </c>
      <c r="C252" s="25"/>
      <c r="D252" s="129"/>
      <c r="E252" s="129"/>
      <c r="F252" s="25"/>
      <c r="G252" s="21">
        <f t="shared" ref="G252:AO252" si="102">SUM(G253:G261)</f>
        <v>38886</v>
      </c>
      <c r="H252" s="21">
        <f t="shared" si="102"/>
        <v>17144</v>
      </c>
      <c r="I252" s="21">
        <f t="shared" si="102"/>
        <v>17350</v>
      </c>
      <c r="J252" s="21">
        <f t="shared" si="102"/>
        <v>4392</v>
      </c>
      <c r="K252" s="21">
        <f t="shared" si="102"/>
        <v>32388</v>
      </c>
      <c r="L252" s="21">
        <f t="shared" si="102"/>
        <v>23378</v>
      </c>
      <c r="M252" s="21">
        <f t="shared" si="102"/>
        <v>15974</v>
      </c>
      <c r="N252" s="21">
        <f t="shared" si="102"/>
        <v>7230</v>
      </c>
      <c r="O252" s="21">
        <f t="shared" si="102"/>
        <v>174</v>
      </c>
      <c r="P252" s="21">
        <f t="shared" si="102"/>
        <v>9210</v>
      </c>
      <c r="Q252" s="21">
        <f t="shared" si="102"/>
        <v>1170</v>
      </c>
      <c r="R252" s="21">
        <f t="shared" si="102"/>
        <v>5699</v>
      </c>
      <c r="S252" s="21">
        <f t="shared" si="102"/>
        <v>2341</v>
      </c>
      <c r="T252" s="21">
        <f t="shared" si="102"/>
        <v>809</v>
      </c>
      <c r="U252" s="21">
        <f t="shared" si="102"/>
        <v>3684</v>
      </c>
      <c r="V252" s="21">
        <f t="shared" si="102"/>
        <v>718</v>
      </c>
      <c r="W252" s="21">
        <f t="shared" si="102"/>
        <v>0</v>
      </c>
      <c r="X252" s="21">
        <f t="shared" si="102"/>
        <v>2228</v>
      </c>
      <c r="Y252" s="21">
        <f t="shared" si="102"/>
        <v>20</v>
      </c>
      <c r="Z252" s="21">
        <f t="shared" si="102"/>
        <v>718</v>
      </c>
      <c r="AA252" s="21">
        <f t="shared" si="102"/>
        <v>0</v>
      </c>
      <c r="AB252" s="21">
        <f t="shared" si="102"/>
        <v>6135</v>
      </c>
      <c r="AC252" s="21">
        <f t="shared" si="102"/>
        <v>452</v>
      </c>
      <c r="AD252" s="21">
        <f t="shared" si="102"/>
        <v>4039</v>
      </c>
      <c r="AE252" s="21">
        <f t="shared" si="102"/>
        <v>1644</v>
      </c>
      <c r="AF252" s="173">
        <f t="shared" si="102"/>
        <v>8666</v>
      </c>
      <c r="AG252" s="173">
        <f t="shared" si="102"/>
        <v>24531</v>
      </c>
      <c r="AH252" s="173">
        <f t="shared" si="102"/>
        <v>27062</v>
      </c>
      <c r="AI252" s="173">
        <f t="shared" si="102"/>
        <v>16692</v>
      </c>
      <c r="AJ252" s="173">
        <f t="shared" si="102"/>
        <v>9478</v>
      </c>
      <c r="AK252" s="173">
        <f t="shared" si="102"/>
        <v>892</v>
      </c>
      <c r="AL252" s="173">
        <f t="shared" si="102"/>
        <v>11153</v>
      </c>
      <c r="AM252" s="173">
        <f t="shared" si="102"/>
        <v>452</v>
      </c>
      <c r="AN252" s="173">
        <f t="shared" si="102"/>
        <v>7572</v>
      </c>
      <c r="AO252" s="173">
        <f t="shared" si="102"/>
        <v>3129</v>
      </c>
      <c r="AP252" s="166"/>
      <c r="AQ252" s="166"/>
      <c r="AR252" s="3"/>
      <c r="AS252" s="3"/>
      <c r="AT252" s="3"/>
      <c r="AU252" s="3"/>
      <c r="AV252" s="3"/>
      <c r="AW252" s="3"/>
      <c r="AX252" s="3"/>
      <c r="AY252" s="3"/>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c r="IE252" s="4"/>
      <c r="IF252" s="4"/>
      <c r="IG252" s="4"/>
      <c r="IH252" s="4"/>
      <c r="II252" s="4"/>
      <c r="IJ252" s="4"/>
      <c r="IK252" s="4"/>
      <c r="IL252" s="4"/>
      <c r="IM252" s="4"/>
    </row>
    <row r="253" spans="1:247" ht="74.25" customHeight="1" x14ac:dyDescent="0.3">
      <c r="A253" s="16">
        <v>1</v>
      </c>
      <c r="B253" s="24" t="s">
        <v>456</v>
      </c>
      <c r="C253" s="25" t="s">
        <v>457</v>
      </c>
      <c r="D253" s="25" t="s">
        <v>458</v>
      </c>
      <c r="E253" s="25" t="s">
        <v>132</v>
      </c>
      <c r="F253" s="25" t="s">
        <v>459</v>
      </c>
      <c r="G253" s="26">
        <v>4000</v>
      </c>
      <c r="H253" s="126">
        <v>2400</v>
      </c>
      <c r="I253" s="126">
        <v>1200</v>
      </c>
      <c r="J253" s="126">
        <v>400</v>
      </c>
      <c r="K253" s="28">
        <v>3840</v>
      </c>
      <c r="L253" s="104">
        <f t="shared" ref="L253:L260" si="103">M253+N253+O253</f>
        <v>3360</v>
      </c>
      <c r="M253" s="28">
        <v>2400</v>
      </c>
      <c r="N253" s="28">
        <v>960</v>
      </c>
      <c r="O253" s="28"/>
      <c r="P253" s="28">
        <f t="shared" ref="P253:P260" si="104">K253-L253</f>
        <v>480</v>
      </c>
      <c r="Q253" s="28"/>
      <c r="R253" s="28">
        <f>I253-N253</f>
        <v>240</v>
      </c>
      <c r="S253" s="28">
        <v>240</v>
      </c>
      <c r="T253" s="26"/>
      <c r="U253" s="105">
        <f>V253+W253+X253+Y253+Z253+AA253</f>
        <v>198</v>
      </c>
      <c r="V253" s="128"/>
      <c r="W253" s="128"/>
      <c r="X253" s="128">
        <v>108</v>
      </c>
      <c r="Y253" s="128"/>
      <c r="Z253" s="128">
        <v>90</v>
      </c>
      <c r="AA253" s="128"/>
      <c r="AB253" s="105">
        <f t="shared" ref="AB253:AB260" si="105">P253+T253-U253</f>
        <v>282</v>
      </c>
      <c r="AC253" s="128">
        <f>Q253-V253</f>
        <v>0</v>
      </c>
      <c r="AD253" s="128">
        <f>R253-X253-Y253</f>
        <v>132</v>
      </c>
      <c r="AE253" s="128">
        <f>S253-Z253-AA253</f>
        <v>150</v>
      </c>
      <c r="AF253" s="185"/>
      <c r="AG253" s="185">
        <v>3840</v>
      </c>
      <c r="AH253" s="175">
        <f t="shared" ref="AH253:AH261" si="106">L253+U253</f>
        <v>3558</v>
      </c>
      <c r="AI253" s="183">
        <f t="shared" ref="AI253:AI261" si="107">M253+V253+W253</f>
        <v>2400</v>
      </c>
      <c r="AJ253" s="175">
        <f t="shared" ref="AJ253:AJ261" si="108">N253+X253+Y253</f>
        <v>1068</v>
      </c>
      <c r="AK253" s="183">
        <f>O253+Z253+AA253</f>
        <v>90</v>
      </c>
      <c r="AL253" s="183">
        <f>AG253-AH253</f>
        <v>282</v>
      </c>
      <c r="AM253" s="183"/>
      <c r="AN253" s="183">
        <f>I253-AJ253</f>
        <v>132</v>
      </c>
      <c r="AO253" s="183">
        <f>S253-AK253</f>
        <v>150</v>
      </c>
      <c r="AP253" s="166"/>
      <c r="AQ253" s="166"/>
      <c r="AR253" s="3"/>
      <c r="AS253" s="3"/>
      <c r="AT253" s="3"/>
      <c r="AU253" s="3"/>
      <c r="AV253" s="3"/>
      <c r="AW253" s="3"/>
      <c r="AX253" s="3"/>
      <c r="AY253" s="3"/>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c r="IE253" s="4"/>
      <c r="IF253" s="4"/>
      <c r="IG253" s="4"/>
      <c r="IH253" s="4"/>
      <c r="II253" s="4"/>
      <c r="IJ253" s="4"/>
      <c r="IK253" s="4"/>
      <c r="IL253" s="4"/>
      <c r="IM253" s="4"/>
    </row>
    <row r="254" spans="1:247" ht="74.25" customHeight="1" x14ac:dyDescent="0.3">
      <c r="A254" s="16">
        <v>2</v>
      </c>
      <c r="B254" s="24" t="s">
        <v>460</v>
      </c>
      <c r="C254" s="25" t="s">
        <v>457</v>
      </c>
      <c r="D254" s="25" t="s">
        <v>61</v>
      </c>
      <c r="E254" s="25" t="s">
        <v>150</v>
      </c>
      <c r="F254" s="25" t="s">
        <v>461</v>
      </c>
      <c r="G254" s="26">
        <v>2789</v>
      </c>
      <c r="H254" s="126">
        <v>1000</v>
      </c>
      <c r="I254" s="126">
        <v>1500</v>
      </c>
      <c r="J254" s="126">
        <v>289</v>
      </c>
      <c r="K254" s="28">
        <v>2348</v>
      </c>
      <c r="L254" s="104">
        <f t="shared" si="103"/>
        <v>1700</v>
      </c>
      <c r="M254" s="28">
        <v>1000</v>
      </c>
      <c r="N254" s="28">
        <v>700</v>
      </c>
      <c r="O254" s="28"/>
      <c r="P254" s="28">
        <f t="shared" si="104"/>
        <v>648</v>
      </c>
      <c r="Q254" s="28"/>
      <c r="R254" s="28">
        <v>500</v>
      </c>
      <c r="S254" s="28">
        <v>148</v>
      </c>
      <c r="T254" s="26"/>
      <c r="U254" s="105">
        <f>V254+W254+X254+Y254+Z254+AA254</f>
        <v>158</v>
      </c>
      <c r="V254" s="128"/>
      <c r="W254" s="128"/>
      <c r="X254" s="128">
        <v>158</v>
      </c>
      <c r="Y254" s="128"/>
      <c r="Z254" s="128"/>
      <c r="AA254" s="128"/>
      <c r="AB254" s="105">
        <f t="shared" si="105"/>
        <v>490</v>
      </c>
      <c r="AC254" s="128">
        <f>Q254-V254</f>
        <v>0</v>
      </c>
      <c r="AD254" s="128">
        <f>R254-X254-Y254</f>
        <v>342</v>
      </c>
      <c r="AE254" s="128">
        <f>S254-Z254-AA254</f>
        <v>148</v>
      </c>
      <c r="AF254" s="185"/>
      <c r="AG254" s="185">
        <f>K254</f>
        <v>2348</v>
      </c>
      <c r="AH254" s="175">
        <f t="shared" si="106"/>
        <v>1858</v>
      </c>
      <c r="AI254" s="183">
        <f t="shared" si="107"/>
        <v>1000</v>
      </c>
      <c r="AJ254" s="175">
        <f t="shared" si="108"/>
        <v>858</v>
      </c>
      <c r="AK254" s="183">
        <f>O254+Z254+AA254</f>
        <v>0</v>
      </c>
      <c r="AL254" s="183">
        <f>AG254-AH254</f>
        <v>490</v>
      </c>
      <c r="AM254" s="183"/>
      <c r="AN254" s="183">
        <v>342</v>
      </c>
      <c r="AO254" s="183">
        <v>148</v>
      </c>
      <c r="AP254" s="166"/>
      <c r="AQ254" s="166"/>
      <c r="AR254" s="3"/>
      <c r="AS254" s="3"/>
      <c r="AT254" s="3"/>
      <c r="AU254" s="3"/>
      <c r="AV254" s="3"/>
      <c r="AW254" s="3"/>
      <c r="AX254" s="3"/>
      <c r="AY254" s="3"/>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c r="IE254" s="4"/>
      <c r="IF254" s="4"/>
      <c r="IG254" s="4"/>
      <c r="IH254" s="4"/>
      <c r="II254" s="4"/>
      <c r="IJ254" s="4"/>
      <c r="IK254" s="4"/>
      <c r="IL254" s="4"/>
      <c r="IM254" s="4"/>
    </row>
    <row r="255" spans="1:247" ht="74.25" customHeight="1" x14ac:dyDescent="0.3">
      <c r="A255" s="16">
        <v>3</v>
      </c>
      <c r="B255" s="24" t="s">
        <v>462</v>
      </c>
      <c r="C255" s="25" t="s">
        <v>457</v>
      </c>
      <c r="D255" s="25" t="s">
        <v>463</v>
      </c>
      <c r="E255" s="25" t="s">
        <v>464</v>
      </c>
      <c r="F255" s="25" t="s">
        <v>465</v>
      </c>
      <c r="G255" s="26">
        <v>2569</v>
      </c>
      <c r="H255" s="126">
        <v>1000</v>
      </c>
      <c r="I255" s="126">
        <v>1500</v>
      </c>
      <c r="J255" s="126">
        <v>69</v>
      </c>
      <c r="K255" s="28">
        <v>2541</v>
      </c>
      <c r="L255" s="104">
        <f t="shared" si="103"/>
        <v>1700</v>
      </c>
      <c r="M255" s="28">
        <v>1000</v>
      </c>
      <c r="N255" s="28">
        <v>700</v>
      </c>
      <c r="O255" s="28"/>
      <c r="P255" s="28">
        <f t="shared" si="104"/>
        <v>841</v>
      </c>
      <c r="Q255" s="28"/>
      <c r="R255" s="28">
        <v>800</v>
      </c>
      <c r="S255" s="28">
        <v>41</v>
      </c>
      <c r="T255" s="26"/>
      <c r="U255" s="105">
        <f t="shared" ref="U255:U261" si="109">V255+W255+X255+Y255+Z255+AA255</f>
        <v>158</v>
      </c>
      <c r="V255" s="128"/>
      <c r="W255" s="128"/>
      <c r="X255" s="128">
        <v>158</v>
      </c>
      <c r="Y255" s="128"/>
      <c r="Z255" s="128"/>
      <c r="AA255" s="128"/>
      <c r="AB255" s="105">
        <f t="shared" si="105"/>
        <v>683</v>
      </c>
      <c r="AC255" s="128">
        <f>Q255-V255</f>
        <v>0</v>
      </c>
      <c r="AD255" s="128">
        <f>R255-X255-Y255</f>
        <v>642</v>
      </c>
      <c r="AE255" s="128">
        <f>S255-Z255-AA255</f>
        <v>41</v>
      </c>
      <c r="AF255" s="185"/>
      <c r="AG255" s="185">
        <v>2541</v>
      </c>
      <c r="AH255" s="175">
        <f t="shared" si="106"/>
        <v>1858</v>
      </c>
      <c r="AI255" s="183">
        <f t="shared" si="107"/>
        <v>1000</v>
      </c>
      <c r="AJ255" s="175">
        <f t="shared" si="108"/>
        <v>858</v>
      </c>
      <c r="AK255" s="183">
        <f>O255+Z255+AA255</f>
        <v>0</v>
      </c>
      <c r="AL255" s="183">
        <f>AG255-AH255</f>
        <v>683</v>
      </c>
      <c r="AM255" s="183"/>
      <c r="AN255" s="183">
        <f>I255-AJ255</f>
        <v>642</v>
      </c>
      <c r="AO255" s="183">
        <v>41</v>
      </c>
      <c r="AP255" s="166"/>
      <c r="AQ255" s="166"/>
      <c r="AR255" s="3"/>
      <c r="AS255" s="3"/>
      <c r="AT255" s="3"/>
      <c r="AU255" s="3"/>
      <c r="AV255" s="3"/>
      <c r="AW255" s="3"/>
      <c r="AX255" s="3"/>
      <c r="AY255" s="3"/>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c r="IB255" s="4"/>
      <c r="IC255" s="4"/>
      <c r="ID255" s="4"/>
      <c r="IE255" s="4"/>
      <c r="IF255" s="4"/>
      <c r="IG255" s="4"/>
      <c r="IH255" s="4"/>
      <c r="II255" s="4"/>
      <c r="IJ255" s="4"/>
      <c r="IK255" s="4"/>
      <c r="IL255" s="4"/>
      <c r="IM255" s="4"/>
    </row>
    <row r="256" spans="1:247" ht="74.25" customHeight="1" x14ac:dyDescent="0.3">
      <c r="A256" s="16">
        <v>4</v>
      </c>
      <c r="B256" s="24" t="s">
        <v>466</v>
      </c>
      <c r="C256" s="25" t="s">
        <v>457</v>
      </c>
      <c r="D256" s="25" t="s">
        <v>467</v>
      </c>
      <c r="E256" s="25"/>
      <c r="F256" s="25" t="s">
        <v>468</v>
      </c>
      <c r="G256" s="26">
        <v>11500</v>
      </c>
      <c r="H256" s="126">
        <v>10000</v>
      </c>
      <c r="I256" s="126">
        <v>1500</v>
      </c>
      <c r="J256" s="126"/>
      <c r="K256" s="28">
        <v>11500</v>
      </c>
      <c r="L256" s="104">
        <f t="shared" si="103"/>
        <v>10000</v>
      </c>
      <c r="M256" s="28">
        <v>10000</v>
      </c>
      <c r="N256" s="28"/>
      <c r="O256" s="28"/>
      <c r="P256" s="28">
        <f t="shared" si="104"/>
        <v>1500</v>
      </c>
      <c r="Q256" s="28"/>
      <c r="R256" s="28">
        <v>1500</v>
      </c>
      <c r="S256" s="28"/>
      <c r="T256" s="26"/>
      <c r="U256" s="105">
        <f t="shared" si="109"/>
        <v>0</v>
      </c>
      <c r="V256" s="128"/>
      <c r="W256" s="128"/>
      <c r="X256" s="128"/>
      <c r="Y256" s="128"/>
      <c r="Z256" s="128"/>
      <c r="AA256" s="128"/>
      <c r="AB256" s="105">
        <f t="shared" si="105"/>
        <v>1500</v>
      </c>
      <c r="AC256" s="128"/>
      <c r="AD256" s="128">
        <f>R256-X256-Y256</f>
        <v>1500</v>
      </c>
      <c r="AE256" s="128"/>
      <c r="AF256" s="185"/>
      <c r="AG256" s="185">
        <v>11500</v>
      </c>
      <c r="AH256" s="175">
        <f t="shared" si="106"/>
        <v>10000</v>
      </c>
      <c r="AI256" s="183">
        <f t="shared" si="107"/>
        <v>10000</v>
      </c>
      <c r="AJ256" s="175">
        <f t="shared" si="108"/>
        <v>0</v>
      </c>
      <c r="AK256" s="183">
        <f>O256+Z256+AA256</f>
        <v>0</v>
      </c>
      <c r="AL256" s="183">
        <f>AG256-AH256</f>
        <v>1500</v>
      </c>
      <c r="AM256" s="183"/>
      <c r="AN256" s="183">
        <v>1500</v>
      </c>
      <c r="AO256" s="183"/>
      <c r="AP256" s="166"/>
      <c r="AQ256" s="166"/>
      <c r="AR256" s="3"/>
      <c r="AS256" s="3"/>
      <c r="AT256" s="3"/>
      <c r="AU256" s="3"/>
      <c r="AV256" s="3"/>
      <c r="AW256" s="3"/>
      <c r="AX256" s="3"/>
      <c r="AY256" s="3"/>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c r="IB256" s="4"/>
      <c r="IC256" s="4"/>
      <c r="ID256" s="4"/>
      <c r="IE256" s="4"/>
      <c r="IF256" s="4"/>
      <c r="IG256" s="4"/>
      <c r="IH256" s="4"/>
      <c r="II256" s="4"/>
      <c r="IJ256" s="4"/>
      <c r="IK256" s="4"/>
      <c r="IL256" s="4"/>
      <c r="IM256" s="4"/>
    </row>
    <row r="257" spans="1:247" ht="74.25" customHeight="1" x14ac:dyDescent="0.3">
      <c r="A257" s="16">
        <v>5</v>
      </c>
      <c r="B257" s="24" t="s">
        <v>469</v>
      </c>
      <c r="C257" s="25" t="s">
        <v>457</v>
      </c>
      <c r="D257" s="25" t="s">
        <v>132</v>
      </c>
      <c r="E257" s="25" t="s">
        <v>415</v>
      </c>
      <c r="F257" s="25" t="s">
        <v>470</v>
      </c>
      <c r="G257" s="26">
        <v>9500</v>
      </c>
      <c r="H257" s="126"/>
      <c r="I257" s="126">
        <v>6650</v>
      </c>
      <c r="J257" s="126">
        <v>2850</v>
      </c>
      <c r="K257" s="28">
        <v>4619</v>
      </c>
      <c r="L257" s="104">
        <f t="shared" si="103"/>
        <v>2109</v>
      </c>
      <c r="M257" s="28"/>
      <c r="N257" s="28">
        <v>2000</v>
      </c>
      <c r="O257" s="28">
        <v>109</v>
      </c>
      <c r="P257" s="28">
        <f t="shared" si="104"/>
        <v>2510</v>
      </c>
      <c r="Q257" s="28"/>
      <c r="R257" s="28">
        <v>1254</v>
      </c>
      <c r="S257" s="28">
        <f>P257-R257</f>
        <v>1256</v>
      </c>
      <c r="T257" s="26"/>
      <c r="U257" s="105">
        <f t="shared" si="109"/>
        <v>1654</v>
      </c>
      <c r="V257" s="128"/>
      <c r="W257" s="128"/>
      <c r="X257" s="128">
        <v>1254</v>
      </c>
      <c r="Y257" s="128"/>
      <c r="Z257" s="128">
        <v>400</v>
      </c>
      <c r="AA257" s="128"/>
      <c r="AB257" s="105">
        <f t="shared" si="105"/>
        <v>856</v>
      </c>
      <c r="AC257" s="128"/>
      <c r="AD257" s="128"/>
      <c r="AE257" s="128">
        <f>S257-Z257-AA257</f>
        <v>856</v>
      </c>
      <c r="AF257" s="185">
        <v>4619</v>
      </c>
      <c r="AG257" s="185"/>
      <c r="AH257" s="175">
        <f t="shared" si="106"/>
        <v>3763</v>
      </c>
      <c r="AI257" s="183">
        <f t="shared" si="107"/>
        <v>0</v>
      </c>
      <c r="AJ257" s="175">
        <f t="shared" si="108"/>
        <v>3254</v>
      </c>
      <c r="AK257" s="183">
        <f>Z257+AA257+O257</f>
        <v>509</v>
      </c>
      <c r="AL257" s="183">
        <f>G257-AH257</f>
        <v>5737</v>
      </c>
      <c r="AM257" s="183"/>
      <c r="AN257" s="183">
        <f>I257-AJ257</f>
        <v>3396</v>
      </c>
      <c r="AO257" s="183">
        <f>J257-AK257</f>
        <v>2341</v>
      </c>
      <c r="AP257" s="166"/>
      <c r="AQ257" s="166"/>
      <c r="AR257" s="3"/>
      <c r="AS257" s="3"/>
      <c r="AT257" s="3"/>
      <c r="AU257" s="3"/>
      <c r="AV257" s="3"/>
      <c r="AW257" s="3"/>
      <c r="AX257" s="3"/>
      <c r="AY257" s="3"/>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c r="IB257" s="4"/>
      <c r="IC257" s="4"/>
      <c r="ID257" s="4"/>
      <c r="IE257" s="4"/>
      <c r="IF257" s="4"/>
      <c r="IG257" s="4"/>
      <c r="IH257" s="4"/>
      <c r="II257" s="4"/>
      <c r="IJ257" s="4"/>
      <c r="IK257" s="4"/>
      <c r="IL257" s="4"/>
      <c r="IM257" s="4"/>
    </row>
    <row r="258" spans="1:247" ht="74.25" customHeight="1" x14ac:dyDescent="0.3">
      <c r="A258" s="16">
        <v>6</v>
      </c>
      <c r="B258" s="24" t="s">
        <v>471</v>
      </c>
      <c r="C258" s="25" t="s">
        <v>457</v>
      </c>
      <c r="D258" s="25" t="s">
        <v>132</v>
      </c>
      <c r="E258" s="25" t="s">
        <v>415</v>
      </c>
      <c r="F258" s="25" t="s">
        <v>472</v>
      </c>
      <c r="G258" s="26">
        <v>3200</v>
      </c>
      <c r="H258" s="126"/>
      <c r="I258" s="126">
        <v>2700</v>
      </c>
      <c r="J258" s="126">
        <v>500</v>
      </c>
      <c r="K258" s="28">
        <v>2991</v>
      </c>
      <c r="L258" s="104">
        <f t="shared" si="103"/>
        <v>2155</v>
      </c>
      <c r="M258" s="28"/>
      <c r="N258" s="28">
        <v>2120</v>
      </c>
      <c r="O258" s="28">
        <v>35</v>
      </c>
      <c r="P258" s="28">
        <f t="shared" si="104"/>
        <v>836</v>
      </c>
      <c r="Q258" s="28"/>
      <c r="R258" s="28">
        <v>392</v>
      </c>
      <c r="S258" s="28">
        <v>444</v>
      </c>
      <c r="T258" s="26">
        <v>209</v>
      </c>
      <c r="U258" s="105">
        <f t="shared" si="109"/>
        <v>243</v>
      </c>
      <c r="V258" s="128"/>
      <c r="W258" s="128"/>
      <c r="X258" s="128">
        <v>100</v>
      </c>
      <c r="Y258" s="128"/>
      <c r="Z258" s="128">
        <v>143</v>
      </c>
      <c r="AA258" s="128"/>
      <c r="AB258" s="105">
        <f t="shared" si="105"/>
        <v>802</v>
      </c>
      <c r="AC258" s="128"/>
      <c r="AD258" s="128">
        <v>480</v>
      </c>
      <c r="AE258" s="128">
        <v>322</v>
      </c>
      <c r="AF258" s="185">
        <f>K258+T258</f>
        <v>3200</v>
      </c>
      <c r="AG258" s="185"/>
      <c r="AH258" s="175">
        <f t="shared" si="106"/>
        <v>2398</v>
      </c>
      <c r="AI258" s="183">
        <f t="shared" si="107"/>
        <v>0</v>
      </c>
      <c r="AJ258" s="175">
        <f t="shared" si="108"/>
        <v>2220</v>
      </c>
      <c r="AK258" s="183">
        <f>Z258+AA258+O258</f>
        <v>178</v>
      </c>
      <c r="AL258" s="183">
        <f>G258-AH258</f>
        <v>802</v>
      </c>
      <c r="AM258" s="183"/>
      <c r="AN258" s="183">
        <f>I258-AJ258</f>
        <v>480</v>
      </c>
      <c r="AO258" s="183">
        <f>J258-AK258</f>
        <v>322</v>
      </c>
      <c r="AP258" s="166"/>
      <c r="AQ258" s="166"/>
      <c r="AR258" s="3"/>
      <c r="AS258" s="3"/>
      <c r="AT258" s="3"/>
      <c r="AU258" s="3"/>
      <c r="AV258" s="3"/>
      <c r="AW258" s="3"/>
      <c r="AX258" s="3"/>
      <c r="AY258" s="3"/>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c r="IB258" s="4"/>
      <c r="IC258" s="4"/>
      <c r="ID258" s="4"/>
      <c r="IE258" s="4"/>
      <c r="IF258" s="4"/>
      <c r="IG258" s="4"/>
      <c r="IH258" s="4"/>
      <c r="II258" s="4"/>
      <c r="IJ258" s="4"/>
      <c r="IK258" s="4"/>
      <c r="IL258" s="4"/>
      <c r="IM258" s="4"/>
    </row>
    <row r="259" spans="1:247" ht="74.25" customHeight="1" x14ac:dyDescent="0.3">
      <c r="A259" s="16">
        <v>7</v>
      </c>
      <c r="B259" s="24" t="s">
        <v>473</v>
      </c>
      <c r="C259" s="25" t="s">
        <v>457</v>
      </c>
      <c r="D259" s="25" t="s">
        <v>132</v>
      </c>
      <c r="E259" s="25" t="s">
        <v>415</v>
      </c>
      <c r="F259" s="25" t="s">
        <v>474</v>
      </c>
      <c r="G259" s="26">
        <v>3744</v>
      </c>
      <c r="H259" s="126">
        <v>2744</v>
      </c>
      <c r="I259" s="126">
        <v>900</v>
      </c>
      <c r="J259" s="126">
        <v>100</v>
      </c>
      <c r="K259" s="28">
        <v>3702</v>
      </c>
      <c r="L259" s="104">
        <f t="shared" si="103"/>
        <v>1874</v>
      </c>
      <c r="M259" s="28">
        <v>1574</v>
      </c>
      <c r="N259" s="28">
        <v>300</v>
      </c>
      <c r="O259" s="28"/>
      <c r="P259" s="28">
        <f t="shared" si="104"/>
        <v>1828</v>
      </c>
      <c r="Q259" s="28">
        <f>H259-M259</f>
        <v>1170</v>
      </c>
      <c r="R259" s="28">
        <f>I259-N259</f>
        <v>600</v>
      </c>
      <c r="S259" s="28">
        <v>58</v>
      </c>
      <c r="T259" s="26"/>
      <c r="U259" s="105">
        <f t="shared" si="109"/>
        <v>918</v>
      </c>
      <c r="V259" s="128">
        <v>718</v>
      </c>
      <c r="W259" s="128"/>
      <c r="X259" s="128">
        <v>200</v>
      </c>
      <c r="Y259" s="128"/>
      <c r="Z259" s="128"/>
      <c r="AA259" s="128"/>
      <c r="AB259" s="105">
        <f t="shared" si="105"/>
        <v>910</v>
      </c>
      <c r="AC259" s="128">
        <v>452</v>
      </c>
      <c r="AD259" s="128">
        <v>400</v>
      </c>
      <c r="AE259" s="128">
        <v>58</v>
      </c>
      <c r="AF259" s="185"/>
      <c r="AG259" s="185">
        <v>3702</v>
      </c>
      <c r="AH259" s="175">
        <f t="shared" si="106"/>
        <v>2792</v>
      </c>
      <c r="AI259" s="183">
        <f t="shared" si="107"/>
        <v>2292</v>
      </c>
      <c r="AJ259" s="175">
        <f t="shared" si="108"/>
        <v>500</v>
      </c>
      <c r="AK259" s="183">
        <f>Z259+AA259+O259</f>
        <v>0</v>
      </c>
      <c r="AL259" s="183">
        <f>AG259-AH259</f>
        <v>910</v>
      </c>
      <c r="AM259" s="183">
        <f>H259-AI259</f>
        <v>452</v>
      </c>
      <c r="AN259" s="183">
        <f>I259-AJ259</f>
        <v>400</v>
      </c>
      <c r="AO259" s="183">
        <v>58</v>
      </c>
      <c r="AP259" s="166"/>
      <c r="AQ259" s="166"/>
      <c r="AR259" s="3"/>
      <c r="AS259" s="3"/>
      <c r="AT259" s="3"/>
      <c r="AU259" s="3"/>
      <c r="AV259" s="3"/>
      <c r="AW259" s="3"/>
      <c r="AX259" s="3"/>
      <c r="AY259" s="3"/>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c r="IE259" s="4"/>
      <c r="IF259" s="4"/>
      <c r="IG259" s="4"/>
      <c r="IH259" s="4"/>
      <c r="II259" s="4"/>
      <c r="IJ259" s="4"/>
      <c r="IK259" s="4"/>
      <c r="IL259" s="4"/>
      <c r="IM259" s="4"/>
    </row>
    <row r="260" spans="1:247" ht="74.25" customHeight="1" x14ac:dyDescent="0.3">
      <c r="A260" s="16">
        <v>8</v>
      </c>
      <c r="B260" s="24" t="s">
        <v>475</v>
      </c>
      <c r="C260" s="25" t="s">
        <v>457</v>
      </c>
      <c r="D260" s="25" t="s">
        <v>150</v>
      </c>
      <c r="E260" s="25" t="s">
        <v>168</v>
      </c>
      <c r="F260" s="25" t="s">
        <v>476</v>
      </c>
      <c r="G260" s="26">
        <v>984</v>
      </c>
      <c r="H260" s="126"/>
      <c r="I260" s="126">
        <v>800</v>
      </c>
      <c r="J260" s="126">
        <v>184</v>
      </c>
      <c r="K260" s="28">
        <v>847</v>
      </c>
      <c r="L260" s="104">
        <f t="shared" si="103"/>
        <v>280</v>
      </c>
      <c r="M260" s="28"/>
      <c r="N260" s="28">
        <v>250</v>
      </c>
      <c r="O260" s="28">
        <v>30</v>
      </c>
      <c r="P260" s="28">
        <f t="shared" si="104"/>
        <v>567</v>
      </c>
      <c r="Q260" s="28"/>
      <c r="R260" s="28">
        <v>413</v>
      </c>
      <c r="S260" s="28">
        <v>154</v>
      </c>
      <c r="T260" s="26"/>
      <c r="U260" s="105">
        <f t="shared" si="109"/>
        <v>335</v>
      </c>
      <c r="V260" s="128"/>
      <c r="W260" s="128"/>
      <c r="X260" s="128">
        <v>250</v>
      </c>
      <c r="Y260" s="128"/>
      <c r="Z260" s="128">
        <v>85</v>
      </c>
      <c r="AA260" s="128"/>
      <c r="AB260" s="105">
        <f t="shared" si="105"/>
        <v>232</v>
      </c>
      <c r="AC260" s="128"/>
      <c r="AD260" s="128">
        <f>R260-X260-Y260</f>
        <v>163</v>
      </c>
      <c r="AE260" s="128">
        <f>S260-Z260-AA260</f>
        <v>69</v>
      </c>
      <c r="AF260" s="185">
        <v>847</v>
      </c>
      <c r="AG260" s="185"/>
      <c r="AH260" s="175">
        <f t="shared" si="106"/>
        <v>615</v>
      </c>
      <c r="AI260" s="183">
        <f t="shared" si="107"/>
        <v>0</v>
      </c>
      <c r="AJ260" s="175">
        <f t="shared" si="108"/>
        <v>500</v>
      </c>
      <c r="AK260" s="183">
        <f>Z260+AA260+O260</f>
        <v>115</v>
      </c>
      <c r="AL260" s="183">
        <f>G260-AH260</f>
        <v>369</v>
      </c>
      <c r="AM260" s="183"/>
      <c r="AN260" s="183">
        <f>I260-AJ260</f>
        <v>300</v>
      </c>
      <c r="AO260" s="183">
        <f>J260-AK260</f>
        <v>69</v>
      </c>
      <c r="AP260" s="166"/>
      <c r="AQ260" s="166"/>
      <c r="AR260" s="3"/>
      <c r="AS260" s="3"/>
      <c r="AT260" s="3"/>
      <c r="AU260" s="3"/>
      <c r="AV260" s="3"/>
      <c r="AW260" s="3"/>
      <c r="AX260" s="3"/>
      <c r="AY260" s="3"/>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c r="IB260" s="4"/>
      <c r="IC260" s="4"/>
      <c r="ID260" s="4"/>
      <c r="IE260" s="4"/>
      <c r="IF260" s="4"/>
      <c r="IG260" s="4"/>
      <c r="IH260" s="4"/>
      <c r="II260" s="4"/>
      <c r="IJ260" s="4"/>
      <c r="IK260" s="4"/>
      <c r="IL260" s="4"/>
      <c r="IM260" s="4"/>
    </row>
    <row r="261" spans="1:247" ht="74.25" customHeight="1" x14ac:dyDescent="0.3">
      <c r="A261" s="16">
        <v>9</v>
      </c>
      <c r="B261" s="24" t="s">
        <v>477</v>
      </c>
      <c r="C261" s="25" t="s">
        <v>457</v>
      </c>
      <c r="D261" s="25" t="s">
        <v>150</v>
      </c>
      <c r="E261" s="25" t="s">
        <v>168</v>
      </c>
      <c r="F261" s="25" t="s">
        <v>478</v>
      </c>
      <c r="G261" s="26">
        <v>600</v>
      </c>
      <c r="H261" s="126"/>
      <c r="I261" s="126">
        <v>600</v>
      </c>
      <c r="J261" s="126"/>
      <c r="K261" s="28"/>
      <c r="L261" s="104">
        <f t="shared" ref="L261" si="110">M261+N261+O261</f>
        <v>200</v>
      </c>
      <c r="M261" s="28"/>
      <c r="N261" s="28">
        <v>200</v>
      </c>
      <c r="O261" s="28"/>
      <c r="P261" s="28">
        <f t="shared" ref="P261" si="111">Q261+R261+S261</f>
        <v>0</v>
      </c>
      <c r="Q261" s="28"/>
      <c r="R261" s="28"/>
      <c r="S261" s="28"/>
      <c r="T261" s="26">
        <v>600</v>
      </c>
      <c r="U261" s="105">
        <f t="shared" si="109"/>
        <v>20</v>
      </c>
      <c r="V261" s="128"/>
      <c r="W261" s="128"/>
      <c r="X261" s="128"/>
      <c r="Y261" s="128">
        <v>20</v>
      </c>
      <c r="Z261" s="128"/>
      <c r="AA261" s="128"/>
      <c r="AB261" s="105">
        <f>T261-U261-L261</f>
        <v>380</v>
      </c>
      <c r="AC261" s="128"/>
      <c r="AD261" s="128">
        <v>380</v>
      </c>
      <c r="AE261" s="128"/>
      <c r="AF261" s="185"/>
      <c r="AG261" s="185">
        <v>600</v>
      </c>
      <c r="AH261" s="175">
        <f t="shared" si="106"/>
        <v>220</v>
      </c>
      <c r="AI261" s="183">
        <f t="shared" si="107"/>
        <v>0</v>
      </c>
      <c r="AJ261" s="175">
        <f t="shared" si="108"/>
        <v>220</v>
      </c>
      <c r="AK261" s="183">
        <f>Z261+AA261+O261</f>
        <v>0</v>
      </c>
      <c r="AL261" s="183">
        <f>G261-AH261</f>
        <v>380</v>
      </c>
      <c r="AM261" s="183"/>
      <c r="AN261" s="183">
        <f>600-220</f>
        <v>380</v>
      </c>
      <c r="AO261" s="183"/>
      <c r="AP261" s="166"/>
      <c r="AQ261" s="166"/>
      <c r="AR261" s="3"/>
      <c r="AS261" s="3"/>
      <c r="AT261" s="3"/>
      <c r="AU261" s="3"/>
      <c r="AV261" s="3"/>
      <c r="AW261" s="3"/>
      <c r="AX261" s="3"/>
      <c r="AY261" s="3"/>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c r="IB261" s="4"/>
      <c r="IC261" s="4"/>
      <c r="ID261" s="4"/>
      <c r="IE261" s="4"/>
      <c r="IF261" s="4"/>
      <c r="IG261" s="4"/>
      <c r="IH261" s="4"/>
      <c r="II261" s="4"/>
      <c r="IJ261" s="4"/>
      <c r="IK261" s="4"/>
      <c r="IL261" s="4"/>
      <c r="IM261" s="4"/>
    </row>
    <row r="262" spans="1:247" ht="39.6" customHeight="1" x14ac:dyDescent="0.3">
      <c r="A262" s="23" t="s">
        <v>71</v>
      </c>
      <c r="B262" s="133" t="s">
        <v>353</v>
      </c>
      <c r="C262" s="25"/>
      <c r="D262" s="129"/>
      <c r="E262" s="129"/>
      <c r="F262" s="134"/>
      <c r="G262" s="21">
        <f>SUM(G263:G275)</f>
        <v>11821</v>
      </c>
      <c r="H262" s="21">
        <f t="shared" ref="H262:AO262" si="112">SUM(H263:H275)</f>
        <v>3252</v>
      </c>
      <c r="I262" s="21">
        <f t="shared" si="112"/>
        <v>2658.5</v>
      </c>
      <c r="J262" s="21">
        <f t="shared" si="112"/>
        <v>5909.5</v>
      </c>
      <c r="K262" s="21">
        <f t="shared" si="112"/>
        <v>10157</v>
      </c>
      <c r="L262" s="21">
        <f t="shared" si="112"/>
        <v>5880</v>
      </c>
      <c r="M262" s="21">
        <f t="shared" si="112"/>
        <v>3252</v>
      </c>
      <c r="N262" s="21">
        <f t="shared" si="112"/>
        <v>1248</v>
      </c>
      <c r="O262" s="21">
        <f t="shared" si="112"/>
        <v>1380</v>
      </c>
      <c r="P262" s="21">
        <f t="shared" si="112"/>
        <v>4277</v>
      </c>
      <c r="Q262" s="21">
        <f t="shared" si="112"/>
        <v>0</v>
      </c>
      <c r="R262" s="21">
        <f t="shared" si="112"/>
        <v>1397.5</v>
      </c>
      <c r="S262" s="21">
        <f t="shared" si="112"/>
        <v>2879.5</v>
      </c>
      <c r="T262" s="21">
        <f t="shared" si="112"/>
        <v>0</v>
      </c>
      <c r="U262" s="21">
        <f t="shared" si="112"/>
        <v>0</v>
      </c>
      <c r="V262" s="21">
        <f t="shared" si="112"/>
        <v>0</v>
      </c>
      <c r="W262" s="21">
        <f t="shared" si="112"/>
        <v>0</v>
      </c>
      <c r="X262" s="21">
        <f t="shared" si="112"/>
        <v>0</v>
      </c>
      <c r="Y262" s="21">
        <f t="shared" si="112"/>
        <v>0</v>
      </c>
      <c r="Z262" s="21">
        <f t="shared" si="112"/>
        <v>0</v>
      </c>
      <c r="AA262" s="21">
        <f t="shared" si="112"/>
        <v>0</v>
      </c>
      <c r="AB262" s="21">
        <f t="shared" si="112"/>
        <v>4277</v>
      </c>
      <c r="AC262" s="21">
        <f t="shared" si="112"/>
        <v>0</v>
      </c>
      <c r="AD262" s="21">
        <f t="shared" si="112"/>
        <v>1397.5</v>
      </c>
      <c r="AE262" s="21">
        <f t="shared" si="112"/>
        <v>2879.5</v>
      </c>
      <c r="AF262" s="173">
        <f t="shared" si="112"/>
        <v>0</v>
      </c>
      <c r="AG262" s="173">
        <f t="shared" si="112"/>
        <v>10157</v>
      </c>
      <c r="AH262" s="173">
        <f t="shared" si="112"/>
        <v>5880</v>
      </c>
      <c r="AI262" s="173">
        <f t="shared" si="112"/>
        <v>3252</v>
      </c>
      <c r="AJ262" s="173">
        <f t="shared" si="112"/>
        <v>1248</v>
      </c>
      <c r="AK262" s="173">
        <f t="shared" si="112"/>
        <v>1380</v>
      </c>
      <c r="AL262" s="173">
        <f t="shared" si="112"/>
        <v>4277</v>
      </c>
      <c r="AM262" s="173">
        <f t="shared" si="112"/>
        <v>0</v>
      </c>
      <c r="AN262" s="173">
        <f t="shared" si="112"/>
        <v>1397.5</v>
      </c>
      <c r="AO262" s="173">
        <f t="shared" si="112"/>
        <v>2879.5</v>
      </c>
      <c r="AP262" s="166"/>
      <c r="AQ262" s="166"/>
      <c r="AR262" s="3"/>
      <c r="AS262" s="3"/>
      <c r="AT262" s="3"/>
      <c r="AU262" s="3"/>
      <c r="AV262" s="3"/>
      <c r="AW262" s="3"/>
      <c r="AX262" s="3"/>
      <c r="AY262" s="3"/>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c r="IB262" s="4"/>
      <c r="IC262" s="4"/>
      <c r="ID262" s="4"/>
      <c r="IE262" s="4"/>
      <c r="IF262" s="4"/>
      <c r="IG262" s="4"/>
      <c r="IH262" s="4"/>
      <c r="II262" s="4"/>
      <c r="IJ262" s="4"/>
      <c r="IK262" s="4"/>
      <c r="IL262" s="4"/>
      <c r="IM262" s="4"/>
    </row>
    <row r="263" spans="1:247" ht="74.25" customHeight="1" x14ac:dyDescent="0.3">
      <c r="A263" s="16">
        <v>1</v>
      </c>
      <c r="B263" s="24" t="s">
        <v>479</v>
      </c>
      <c r="C263" s="25" t="s">
        <v>457</v>
      </c>
      <c r="D263" s="25" t="s">
        <v>480</v>
      </c>
      <c r="E263" s="25" t="s">
        <v>113</v>
      </c>
      <c r="F263" s="25" t="s">
        <v>481</v>
      </c>
      <c r="G263" s="26">
        <v>1130</v>
      </c>
      <c r="H263" s="126">
        <v>305</v>
      </c>
      <c r="I263" s="126">
        <v>259</v>
      </c>
      <c r="J263" s="126">
        <v>565</v>
      </c>
      <c r="K263" s="28">
        <v>1001</v>
      </c>
      <c r="L263" s="104">
        <f>M263+N263+O263</f>
        <v>612</v>
      </c>
      <c r="M263" s="28">
        <v>305</v>
      </c>
      <c r="N263" s="28">
        <v>118</v>
      </c>
      <c r="O263" s="28">
        <v>189</v>
      </c>
      <c r="P263" s="28">
        <f>K263-L263</f>
        <v>389</v>
      </c>
      <c r="Q263" s="28"/>
      <c r="R263" s="28">
        <v>141</v>
      </c>
      <c r="S263" s="28">
        <v>248</v>
      </c>
      <c r="T263" s="26"/>
      <c r="U263" s="105">
        <f t="shared" ref="U263:U267" si="113">V263+W263+X263+Y263+Z263+AA263</f>
        <v>0</v>
      </c>
      <c r="V263" s="128"/>
      <c r="W263" s="128"/>
      <c r="X263" s="128"/>
      <c r="Y263" s="128"/>
      <c r="Z263" s="128"/>
      <c r="AA263" s="128"/>
      <c r="AB263" s="105">
        <f>P263+T263-U263</f>
        <v>389</v>
      </c>
      <c r="AC263" s="128">
        <f>Q263-V263</f>
        <v>0</v>
      </c>
      <c r="AD263" s="128">
        <f>R263-X263-Y263</f>
        <v>141</v>
      </c>
      <c r="AE263" s="128">
        <f>S263-Z263-AA263</f>
        <v>248</v>
      </c>
      <c r="AF263" s="185"/>
      <c r="AG263" s="185">
        <v>1001</v>
      </c>
      <c r="AH263" s="175">
        <f>L263+U263</f>
        <v>612</v>
      </c>
      <c r="AI263" s="183">
        <f>M263+V263+W263</f>
        <v>305</v>
      </c>
      <c r="AJ263" s="175">
        <f>N263+X263+Y263</f>
        <v>118</v>
      </c>
      <c r="AK263" s="183">
        <f>O263+Z263+AA263</f>
        <v>189</v>
      </c>
      <c r="AL263" s="183">
        <f t="shared" ref="AL263:AL275" si="114">AG263-AH263</f>
        <v>389</v>
      </c>
      <c r="AM263" s="183"/>
      <c r="AN263" s="183">
        <v>141</v>
      </c>
      <c r="AO263" s="183">
        <v>248</v>
      </c>
      <c r="AP263" s="166"/>
      <c r="AQ263" s="166"/>
      <c r="AR263" s="3"/>
      <c r="AS263" s="3"/>
      <c r="AT263" s="3"/>
      <c r="AU263" s="3"/>
      <c r="AV263" s="3"/>
      <c r="AW263" s="3"/>
      <c r="AX263" s="3"/>
      <c r="AY263" s="3"/>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c r="IB263" s="4"/>
      <c r="IC263" s="4"/>
      <c r="ID263" s="4"/>
      <c r="IE263" s="4"/>
      <c r="IF263" s="4"/>
      <c r="IG263" s="4"/>
      <c r="IH263" s="4"/>
      <c r="II263" s="4"/>
      <c r="IJ263" s="4"/>
      <c r="IK263" s="4"/>
      <c r="IL263" s="4"/>
      <c r="IM263" s="4"/>
    </row>
    <row r="264" spans="1:247" ht="74.25" customHeight="1" x14ac:dyDescent="0.3">
      <c r="A264" s="16">
        <v>2</v>
      </c>
      <c r="B264" s="24" t="s">
        <v>482</v>
      </c>
      <c r="C264" s="25" t="s">
        <v>457</v>
      </c>
      <c r="D264" s="25" t="s">
        <v>480</v>
      </c>
      <c r="E264" s="25" t="s">
        <v>483</v>
      </c>
      <c r="F264" s="25" t="s">
        <v>484</v>
      </c>
      <c r="G264" s="26">
        <v>820</v>
      </c>
      <c r="H264" s="126">
        <v>222</v>
      </c>
      <c r="I264" s="126">
        <v>188</v>
      </c>
      <c r="J264" s="126">
        <v>410</v>
      </c>
      <c r="K264" s="28">
        <v>729</v>
      </c>
      <c r="L264" s="104">
        <f t="shared" ref="L264:L275" si="115">M264+N264+O264</f>
        <v>384</v>
      </c>
      <c r="M264" s="28">
        <v>222</v>
      </c>
      <c r="N264" s="28">
        <v>85</v>
      </c>
      <c r="O264" s="28">
        <v>77</v>
      </c>
      <c r="P264" s="28">
        <f>K264-L264</f>
        <v>345</v>
      </c>
      <c r="Q264" s="28"/>
      <c r="R264" s="28">
        <f t="shared" ref="R264:R274" si="116">I264-N264</f>
        <v>103</v>
      </c>
      <c r="S264" s="28">
        <f t="shared" ref="S264:S275" si="117">K264-L264-R264</f>
        <v>242</v>
      </c>
      <c r="T264" s="26"/>
      <c r="U264" s="105"/>
      <c r="V264" s="128"/>
      <c r="W264" s="128"/>
      <c r="X264" s="128"/>
      <c r="Y264" s="128"/>
      <c r="Z264" s="128"/>
      <c r="AA264" s="128"/>
      <c r="AB264" s="105">
        <f>P264+T264-U264</f>
        <v>345</v>
      </c>
      <c r="AC264" s="128">
        <f>Q264-V264</f>
        <v>0</v>
      </c>
      <c r="AD264" s="128">
        <f>R264-X264-Y264</f>
        <v>103</v>
      </c>
      <c r="AE264" s="128">
        <f>S264-Z264-AA264</f>
        <v>242</v>
      </c>
      <c r="AF264" s="185"/>
      <c r="AG264" s="185">
        <v>729</v>
      </c>
      <c r="AH264" s="175">
        <f>L264+U264</f>
        <v>384</v>
      </c>
      <c r="AI264" s="183">
        <f>M264+V264+W264</f>
        <v>222</v>
      </c>
      <c r="AJ264" s="175">
        <f>N264+X264+Y264</f>
        <v>85</v>
      </c>
      <c r="AK264" s="183">
        <f>O264+Z264+AA264</f>
        <v>77</v>
      </c>
      <c r="AL264" s="183">
        <f t="shared" si="114"/>
        <v>345</v>
      </c>
      <c r="AM264" s="183"/>
      <c r="AN264" s="183">
        <f t="shared" ref="AN264:AN274" si="118">I264-AJ264</f>
        <v>103</v>
      </c>
      <c r="AO264" s="183">
        <v>242</v>
      </c>
      <c r="AP264" s="166"/>
      <c r="AQ264" s="166"/>
      <c r="AR264" s="3"/>
      <c r="AS264" s="3"/>
      <c r="AT264" s="3"/>
      <c r="AU264" s="3"/>
      <c r="AV264" s="3"/>
      <c r="AW264" s="3"/>
      <c r="AX264" s="3"/>
      <c r="AY264" s="3"/>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c r="IB264" s="4"/>
      <c r="IC264" s="4"/>
      <c r="ID264" s="4"/>
      <c r="IE264" s="4"/>
      <c r="IF264" s="4"/>
      <c r="IG264" s="4"/>
      <c r="IH264" s="4"/>
      <c r="II264" s="4"/>
      <c r="IJ264" s="4"/>
      <c r="IK264" s="4"/>
      <c r="IL264" s="4"/>
      <c r="IM264" s="4"/>
    </row>
    <row r="265" spans="1:247" ht="74.25" customHeight="1" x14ac:dyDescent="0.3">
      <c r="A265" s="16">
        <v>3</v>
      </c>
      <c r="B265" s="24" t="s">
        <v>485</v>
      </c>
      <c r="C265" s="25" t="s">
        <v>457</v>
      </c>
      <c r="D265" s="25" t="s">
        <v>480</v>
      </c>
      <c r="E265" s="25" t="s">
        <v>486</v>
      </c>
      <c r="F265" s="25" t="s">
        <v>487</v>
      </c>
      <c r="G265" s="26">
        <v>870</v>
      </c>
      <c r="H265" s="126">
        <v>236</v>
      </c>
      <c r="I265" s="126">
        <v>199</v>
      </c>
      <c r="J265" s="126">
        <v>435</v>
      </c>
      <c r="K265" s="28">
        <v>766</v>
      </c>
      <c r="L265" s="104">
        <f t="shared" si="115"/>
        <v>408</v>
      </c>
      <c r="M265" s="28">
        <v>236</v>
      </c>
      <c r="N265" s="28">
        <v>90</v>
      </c>
      <c r="O265" s="28">
        <v>82</v>
      </c>
      <c r="P265" s="28">
        <f t="shared" ref="P265:P274" si="119">Q265+R265+S265</f>
        <v>358</v>
      </c>
      <c r="Q265" s="28"/>
      <c r="R265" s="28">
        <f t="shared" si="116"/>
        <v>109</v>
      </c>
      <c r="S265" s="28">
        <f t="shared" si="117"/>
        <v>249</v>
      </c>
      <c r="T265" s="26"/>
      <c r="U265" s="105">
        <f t="shared" si="113"/>
        <v>0</v>
      </c>
      <c r="V265" s="128"/>
      <c r="W265" s="128"/>
      <c r="X265" s="128"/>
      <c r="Y265" s="128"/>
      <c r="Z265" s="128"/>
      <c r="AA265" s="128"/>
      <c r="AB265" s="105">
        <f t="shared" ref="AB265:AB275" si="120">P265+T265-U265</f>
        <v>358</v>
      </c>
      <c r="AC265" s="128"/>
      <c r="AD265" s="128">
        <v>109</v>
      </c>
      <c r="AE265" s="128">
        <v>249</v>
      </c>
      <c r="AF265" s="185"/>
      <c r="AG265" s="185">
        <v>766</v>
      </c>
      <c r="AH265" s="175">
        <f t="shared" ref="AH265:AH274" si="121">AI265+AJ265+AK265</f>
        <v>408</v>
      </c>
      <c r="AI265" s="183">
        <f t="shared" ref="AI265:AI275" si="122">M265+V265+W265</f>
        <v>236</v>
      </c>
      <c r="AJ265" s="175">
        <f t="shared" ref="AJ265:AJ275" si="123">N265+X265+Y265</f>
        <v>90</v>
      </c>
      <c r="AK265" s="183">
        <f t="shared" ref="AK265:AK274" si="124">O265+Z265+AA265</f>
        <v>82</v>
      </c>
      <c r="AL265" s="183">
        <f t="shared" si="114"/>
        <v>358</v>
      </c>
      <c r="AM265" s="183"/>
      <c r="AN265" s="183">
        <f t="shared" si="118"/>
        <v>109</v>
      </c>
      <c r="AO265" s="183">
        <v>249</v>
      </c>
      <c r="AP265" s="166"/>
      <c r="AQ265" s="166"/>
      <c r="AR265" s="3"/>
      <c r="AS265" s="3"/>
      <c r="AT265" s="3"/>
      <c r="AU265" s="3"/>
      <c r="AV265" s="3"/>
      <c r="AW265" s="3"/>
      <c r="AX265" s="3"/>
      <c r="AY265" s="3"/>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c r="IB265" s="4"/>
      <c r="IC265" s="4"/>
      <c r="ID265" s="4"/>
      <c r="IE265" s="4"/>
      <c r="IF265" s="4"/>
      <c r="IG265" s="4"/>
      <c r="IH265" s="4"/>
      <c r="II265" s="4"/>
      <c r="IJ265" s="4"/>
      <c r="IK265" s="4"/>
      <c r="IL265" s="4"/>
      <c r="IM265" s="4"/>
    </row>
    <row r="266" spans="1:247" ht="74.25" customHeight="1" x14ac:dyDescent="0.3">
      <c r="A266" s="16">
        <v>4</v>
      </c>
      <c r="B266" s="24" t="s">
        <v>488</v>
      </c>
      <c r="C266" s="25" t="s">
        <v>457</v>
      </c>
      <c r="D266" s="25" t="s">
        <v>480</v>
      </c>
      <c r="E266" s="25" t="s">
        <v>483</v>
      </c>
      <c r="F266" s="25" t="s">
        <v>489</v>
      </c>
      <c r="G266" s="26">
        <v>860</v>
      </c>
      <c r="H266" s="126">
        <v>233</v>
      </c>
      <c r="I266" s="126">
        <v>197</v>
      </c>
      <c r="J266" s="126">
        <v>430</v>
      </c>
      <c r="K266" s="28">
        <v>767</v>
      </c>
      <c r="L266" s="104">
        <f t="shared" si="115"/>
        <v>403</v>
      </c>
      <c r="M266" s="28">
        <v>233</v>
      </c>
      <c r="N266" s="28">
        <v>90</v>
      </c>
      <c r="O266" s="28">
        <v>80</v>
      </c>
      <c r="P266" s="28">
        <f t="shared" si="119"/>
        <v>364</v>
      </c>
      <c r="Q266" s="28"/>
      <c r="R266" s="28">
        <f t="shared" si="116"/>
        <v>107</v>
      </c>
      <c r="S266" s="28">
        <f t="shared" si="117"/>
        <v>257</v>
      </c>
      <c r="T266" s="26"/>
      <c r="U266" s="105">
        <f t="shared" si="113"/>
        <v>0</v>
      </c>
      <c r="V266" s="128"/>
      <c r="W266" s="128"/>
      <c r="X266" s="128"/>
      <c r="Y266" s="128"/>
      <c r="Z266" s="128"/>
      <c r="AA266" s="128"/>
      <c r="AB266" s="105">
        <f t="shared" si="120"/>
        <v>364</v>
      </c>
      <c r="AC266" s="128"/>
      <c r="AD266" s="128">
        <v>107</v>
      </c>
      <c r="AE266" s="128">
        <v>257</v>
      </c>
      <c r="AF266" s="185"/>
      <c r="AG266" s="185">
        <v>767</v>
      </c>
      <c r="AH266" s="175">
        <f t="shared" si="121"/>
        <v>403</v>
      </c>
      <c r="AI266" s="183">
        <f t="shared" si="122"/>
        <v>233</v>
      </c>
      <c r="AJ266" s="175">
        <f t="shared" si="123"/>
        <v>90</v>
      </c>
      <c r="AK266" s="183">
        <f t="shared" si="124"/>
        <v>80</v>
      </c>
      <c r="AL266" s="183">
        <f t="shared" si="114"/>
        <v>364</v>
      </c>
      <c r="AM266" s="183"/>
      <c r="AN266" s="183">
        <f t="shared" si="118"/>
        <v>107</v>
      </c>
      <c r="AO266" s="183">
        <v>257</v>
      </c>
      <c r="AP266" s="166"/>
      <c r="AQ266" s="166"/>
      <c r="AR266" s="3"/>
      <c r="AS266" s="3"/>
      <c r="AT266" s="3"/>
      <c r="AU266" s="3"/>
      <c r="AV266" s="3"/>
      <c r="AW266" s="3"/>
      <c r="AX266" s="3"/>
      <c r="AY266" s="3"/>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row>
    <row r="267" spans="1:247" ht="74.25" customHeight="1" x14ac:dyDescent="0.3">
      <c r="A267" s="16">
        <v>5</v>
      </c>
      <c r="B267" s="24" t="s">
        <v>490</v>
      </c>
      <c r="C267" s="25" t="s">
        <v>457</v>
      </c>
      <c r="D267" s="25" t="s">
        <v>480</v>
      </c>
      <c r="E267" s="25" t="s">
        <v>491</v>
      </c>
      <c r="F267" s="25" t="s">
        <v>492</v>
      </c>
      <c r="G267" s="26">
        <v>870</v>
      </c>
      <c r="H267" s="126">
        <v>236</v>
      </c>
      <c r="I267" s="126">
        <v>199</v>
      </c>
      <c r="J267" s="126">
        <v>435</v>
      </c>
      <c r="K267" s="28">
        <v>753</v>
      </c>
      <c r="L267" s="104">
        <f t="shared" si="115"/>
        <v>407</v>
      </c>
      <c r="M267" s="28">
        <v>236</v>
      </c>
      <c r="N267" s="28">
        <v>91</v>
      </c>
      <c r="O267" s="28">
        <v>80</v>
      </c>
      <c r="P267" s="28">
        <f t="shared" si="119"/>
        <v>346</v>
      </c>
      <c r="Q267" s="28"/>
      <c r="R267" s="28">
        <f t="shared" si="116"/>
        <v>108</v>
      </c>
      <c r="S267" s="28">
        <f t="shared" si="117"/>
        <v>238</v>
      </c>
      <c r="T267" s="26"/>
      <c r="U267" s="105">
        <f t="shared" si="113"/>
        <v>0</v>
      </c>
      <c r="V267" s="128"/>
      <c r="W267" s="128"/>
      <c r="X267" s="128"/>
      <c r="Y267" s="128"/>
      <c r="Z267" s="128"/>
      <c r="AA267" s="128"/>
      <c r="AB267" s="105">
        <f t="shared" si="120"/>
        <v>346</v>
      </c>
      <c r="AC267" s="128"/>
      <c r="AD267" s="128">
        <v>108</v>
      </c>
      <c r="AE267" s="128">
        <v>238</v>
      </c>
      <c r="AF267" s="185"/>
      <c r="AG267" s="185">
        <v>753</v>
      </c>
      <c r="AH267" s="175">
        <f t="shared" si="121"/>
        <v>407</v>
      </c>
      <c r="AI267" s="183">
        <f t="shared" si="122"/>
        <v>236</v>
      </c>
      <c r="AJ267" s="175">
        <f t="shared" si="123"/>
        <v>91</v>
      </c>
      <c r="AK267" s="183">
        <f t="shared" si="124"/>
        <v>80</v>
      </c>
      <c r="AL267" s="183">
        <f t="shared" si="114"/>
        <v>346</v>
      </c>
      <c r="AM267" s="183"/>
      <c r="AN267" s="183">
        <f t="shared" si="118"/>
        <v>108</v>
      </c>
      <c r="AO267" s="183">
        <v>238</v>
      </c>
      <c r="AP267" s="166"/>
      <c r="AQ267" s="166"/>
      <c r="AR267" s="3"/>
      <c r="AS267" s="3"/>
      <c r="AT267" s="3"/>
      <c r="AU267" s="3"/>
      <c r="AV267" s="3"/>
      <c r="AW267" s="3"/>
      <c r="AX267" s="3"/>
      <c r="AY267" s="3"/>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row>
    <row r="268" spans="1:247" ht="74.25" customHeight="1" x14ac:dyDescent="0.3">
      <c r="A268" s="16">
        <v>6</v>
      </c>
      <c r="B268" s="24" t="s">
        <v>493</v>
      </c>
      <c r="C268" s="25" t="s">
        <v>457</v>
      </c>
      <c r="D268" s="25" t="s">
        <v>480</v>
      </c>
      <c r="E268" s="25" t="s">
        <v>463</v>
      </c>
      <c r="F268" s="25" t="s">
        <v>494</v>
      </c>
      <c r="G268" s="26">
        <v>870</v>
      </c>
      <c r="H268" s="126">
        <v>236</v>
      </c>
      <c r="I268" s="126">
        <v>199</v>
      </c>
      <c r="J268" s="126">
        <v>435</v>
      </c>
      <c r="K268" s="28">
        <v>699</v>
      </c>
      <c r="L268" s="104">
        <f t="shared" si="115"/>
        <v>412</v>
      </c>
      <c r="M268" s="28">
        <v>236</v>
      </c>
      <c r="N268" s="28">
        <v>86</v>
      </c>
      <c r="O268" s="28">
        <v>90</v>
      </c>
      <c r="P268" s="28">
        <f t="shared" si="119"/>
        <v>287</v>
      </c>
      <c r="Q268" s="28"/>
      <c r="R268" s="28">
        <v>113</v>
      </c>
      <c r="S268" s="28">
        <v>174</v>
      </c>
      <c r="T268" s="26"/>
      <c r="U268" s="105"/>
      <c r="V268" s="128"/>
      <c r="W268" s="128"/>
      <c r="X268" s="128"/>
      <c r="Y268" s="128"/>
      <c r="Z268" s="128"/>
      <c r="AA268" s="128"/>
      <c r="AB268" s="105">
        <f t="shared" si="120"/>
        <v>287</v>
      </c>
      <c r="AC268" s="128"/>
      <c r="AD268" s="128">
        <v>113</v>
      </c>
      <c r="AE268" s="128">
        <v>174</v>
      </c>
      <c r="AF268" s="185"/>
      <c r="AG268" s="185">
        <v>699</v>
      </c>
      <c r="AH268" s="175">
        <f t="shared" si="121"/>
        <v>412</v>
      </c>
      <c r="AI268" s="183">
        <f t="shared" si="122"/>
        <v>236</v>
      </c>
      <c r="AJ268" s="175">
        <f t="shared" si="123"/>
        <v>86</v>
      </c>
      <c r="AK268" s="183">
        <f t="shared" si="124"/>
        <v>90</v>
      </c>
      <c r="AL268" s="183">
        <f t="shared" si="114"/>
        <v>287</v>
      </c>
      <c r="AM268" s="183"/>
      <c r="AN268" s="183">
        <v>113</v>
      </c>
      <c r="AO268" s="183">
        <v>174</v>
      </c>
      <c r="AP268" s="166"/>
      <c r="AQ268" s="166"/>
      <c r="AR268" s="3"/>
      <c r="AS268" s="3"/>
      <c r="AT268" s="3"/>
      <c r="AU268" s="3"/>
      <c r="AV268" s="3"/>
      <c r="AW268" s="3"/>
      <c r="AX268" s="3"/>
      <c r="AY268" s="3"/>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row>
    <row r="269" spans="1:247" ht="74.25" customHeight="1" x14ac:dyDescent="0.3">
      <c r="A269" s="16">
        <v>7</v>
      </c>
      <c r="B269" s="24" t="s">
        <v>495</v>
      </c>
      <c r="C269" s="25" t="s">
        <v>457</v>
      </c>
      <c r="D269" s="25" t="s">
        <v>480</v>
      </c>
      <c r="E269" s="25" t="s">
        <v>464</v>
      </c>
      <c r="F269" s="25" t="s">
        <v>496</v>
      </c>
      <c r="G269" s="26">
        <v>970</v>
      </c>
      <c r="H269" s="126">
        <v>263</v>
      </c>
      <c r="I269" s="126">
        <v>223</v>
      </c>
      <c r="J269" s="126">
        <v>484</v>
      </c>
      <c r="K269" s="28">
        <v>825</v>
      </c>
      <c r="L269" s="104">
        <f t="shared" si="115"/>
        <v>472</v>
      </c>
      <c r="M269" s="28">
        <v>263</v>
      </c>
      <c r="N269" s="28">
        <v>102</v>
      </c>
      <c r="O269" s="28">
        <v>107</v>
      </c>
      <c r="P269" s="28">
        <f t="shared" si="119"/>
        <v>353</v>
      </c>
      <c r="Q269" s="28"/>
      <c r="R269" s="28">
        <v>121</v>
      </c>
      <c r="S269" s="28">
        <f t="shared" si="117"/>
        <v>232</v>
      </c>
      <c r="T269" s="26"/>
      <c r="U269" s="105"/>
      <c r="V269" s="128"/>
      <c r="W269" s="128"/>
      <c r="X269" s="128"/>
      <c r="Y269" s="128"/>
      <c r="Z269" s="128"/>
      <c r="AA269" s="128"/>
      <c r="AB269" s="105">
        <f t="shared" si="120"/>
        <v>353</v>
      </c>
      <c r="AC269" s="128"/>
      <c r="AD269" s="128">
        <v>121</v>
      </c>
      <c r="AE269" s="128">
        <f t="shared" ref="AE269:AE274" si="125">S269</f>
        <v>232</v>
      </c>
      <c r="AF269" s="185"/>
      <c r="AG269" s="185">
        <v>825</v>
      </c>
      <c r="AH269" s="175">
        <f t="shared" si="121"/>
        <v>472</v>
      </c>
      <c r="AI269" s="183">
        <f t="shared" si="122"/>
        <v>263</v>
      </c>
      <c r="AJ269" s="175">
        <f t="shared" si="123"/>
        <v>102</v>
      </c>
      <c r="AK269" s="183">
        <f t="shared" si="124"/>
        <v>107</v>
      </c>
      <c r="AL269" s="183">
        <f t="shared" si="114"/>
        <v>353</v>
      </c>
      <c r="AM269" s="183"/>
      <c r="AN269" s="183">
        <v>121</v>
      </c>
      <c r="AO269" s="183">
        <v>232</v>
      </c>
      <c r="AP269" s="166"/>
      <c r="AQ269" s="166"/>
      <c r="AR269" s="3"/>
      <c r="AS269" s="3"/>
      <c r="AT269" s="3"/>
      <c r="AU269" s="3"/>
      <c r="AV269" s="3"/>
      <c r="AW269" s="3"/>
      <c r="AX269" s="3"/>
      <c r="AY269" s="3"/>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row>
    <row r="270" spans="1:247" ht="74.25" customHeight="1" x14ac:dyDescent="0.3">
      <c r="A270" s="16">
        <v>8</v>
      </c>
      <c r="B270" s="24" t="s">
        <v>497</v>
      </c>
      <c r="C270" s="25" t="s">
        <v>457</v>
      </c>
      <c r="D270" s="25" t="s">
        <v>480</v>
      </c>
      <c r="E270" s="25" t="s">
        <v>464</v>
      </c>
      <c r="F270" s="25" t="s">
        <v>498</v>
      </c>
      <c r="G270" s="26">
        <v>1030</v>
      </c>
      <c r="H270" s="126">
        <v>279</v>
      </c>
      <c r="I270" s="126">
        <v>236</v>
      </c>
      <c r="J270" s="126">
        <v>515</v>
      </c>
      <c r="K270" s="28">
        <v>840</v>
      </c>
      <c r="L270" s="104">
        <f t="shared" si="115"/>
        <v>530</v>
      </c>
      <c r="M270" s="28">
        <v>279</v>
      </c>
      <c r="N270" s="28">
        <v>108</v>
      </c>
      <c r="O270" s="28">
        <v>143</v>
      </c>
      <c r="P270" s="28">
        <f>K270-L270</f>
        <v>310</v>
      </c>
      <c r="Q270" s="28"/>
      <c r="R270" s="28">
        <v>128</v>
      </c>
      <c r="S270" s="28">
        <v>182</v>
      </c>
      <c r="T270" s="26"/>
      <c r="U270" s="105"/>
      <c r="V270" s="128"/>
      <c r="W270" s="128"/>
      <c r="X270" s="128"/>
      <c r="Y270" s="128"/>
      <c r="Z270" s="128"/>
      <c r="AA270" s="128"/>
      <c r="AB270" s="105">
        <f>P270+T270-U270</f>
        <v>310</v>
      </c>
      <c r="AC270" s="128"/>
      <c r="AD270" s="128">
        <v>128</v>
      </c>
      <c r="AE270" s="128">
        <f t="shared" si="125"/>
        <v>182</v>
      </c>
      <c r="AF270" s="185"/>
      <c r="AG270" s="185">
        <v>840</v>
      </c>
      <c r="AH270" s="175">
        <f t="shared" si="121"/>
        <v>530</v>
      </c>
      <c r="AI270" s="183">
        <f t="shared" si="122"/>
        <v>279</v>
      </c>
      <c r="AJ270" s="175">
        <f t="shared" si="123"/>
        <v>108</v>
      </c>
      <c r="AK270" s="183">
        <f t="shared" si="124"/>
        <v>143</v>
      </c>
      <c r="AL270" s="183">
        <f t="shared" si="114"/>
        <v>310</v>
      </c>
      <c r="AM270" s="183"/>
      <c r="AN270" s="183">
        <v>128</v>
      </c>
      <c r="AO270" s="183">
        <v>182</v>
      </c>
      <c r="AP270" s="166"/>
      <c r="AQ270" s="166"/>
      <c r="AR270" s="3"/>
      <c r="AS270" s="3"/>
      <c r="AT270" s="3"/>
      <c r="AU270" s="3"/>
      <c r="AV270" s="3"/>
      <c r="AW270" s="3"/>
      <c r="AX270" s="3"/>
      <c r="AY270" s="3"/>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row>
    <row r="271" spans="1:247" ht="74.25" customHeight="1" x14ac:dyDescent="0.3">
      <c r="A271" s="16">
        <v>9</v>
      </c>
      <c r="B271" s="24" t="s">
        <v>499</v>
      </c>
      <c r="C271" s="25" t="s">
        <v>457</v>
      </c>
      <c r="D271" s="25" t="s">
        <v>480</v>
      </c>
      <c r="E271" s="25" t="s">
        <v>483</v>
      </c>
      <c r="F271" s="25" t="s">
        <v>500</v>
      </c>
      <c r="G271" s="26">
        <v>1030</v>
      </c>
      <c r="H271" s="126">
        <v>279</v>
      </c>
      <c r="I271" s="126">
        <v>236</v>
      </c>
      <c r="J271" s="126">
        <v>515</v>
      </c>
      <c r="K271" s="28">
        <v>865</v>
      </c>
      <c r="L271" s="104">
        <f t="shared" si="115"/>
        <v>524</v>
      </c>
      <c r="M271" s="28">
        <v>279</v>
      </c>
      <c r="N271" s="28">
        <v>107</v>
      </c>
      <c r="O271" s="28">
        <v>138</v>
      </c>
      <c r="P271" s="28">
        <f t="shared" si="119"/>
        <v>341</v>
      </c>
      <c r="Q271" s="28"/>
      <c r="R271" s="28">
        <v>129</v>
      </c>
      <c r="S271" s="28">
        <f t="shared" si="117"/>
        <v>212</v>
      </c>
      <c r="T271" s="26"/>
      <c r="U271" s="105"/>
      <c r="V271" s="128"/>
      <c r="W271" s="128"/>
      <c r="X271" s="128"/>
      <c r="Y271" s="128"/>
      <c r="Z271" s="128"/>
      <c r="AA271" s="128"/>
      <c r="AB271" s="105">
        <f t="shared" si="120"/>
        <v>341</v>
      </c>
      <c r="AC271" s="128"/>
      <c r="AD271" s="128">
        <v>129</v>
      </c>
      <c r="AE271" s="128">
        <f t="shared" si="125"/>
        <v>212</v>
      </c>
      <c r="AF271" s="185"/>
      <c r="AG271" s="185">
        <v>865</v>
      </c>
      <c r="AH271" s="175">
        <f t="shared" si="121"/>
        <v>524</v>
      </c>
      <c r="AI271" s="183">
        <f t="shared" si="122"/>
        <v>279</v>
      </c>
      <c r="AJ271" s="175">
        <f t="shared" si="123"/>
        <v>107</v>
      </c>
      <c r="AK271" s="183">
        <f t="shared" si="124"/>
        <v>138</v>
      </c>
      <c r="AL271" s="183">
        <f t="shared" si="114"/>
        <v>341</v>
      </c>
      <c r="AM271" s="183"/>
      <c r="AN271" s="183">
        <v>129</v>
      </c>
      <c r="AO271" s="183">
        <v>212</v>
      </c>
      <c r="AP271" s="166"/>
      <c r="AQ271" s="166"/>
      <c r="AR271" s="3"/>
      <c r="AS271" s="3"/>
      <c r="AT271" s="3"/>
      <c r="AU271" s="3"/>
      <c r="AV271" s="3"/>
      <c r="AW271" s="3"/>
      <c r="AX271" s="3"/>
      <c r="AY271" s="3"/>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row>
    <row r="272" spans="1:247" ht="74.25" customHeight="1" x14ac:dyDescent="0.3">
      <c r="A272" s="16">
        <v>10</v>
      </c>
      <c r="B272" s="24" t="s">
        <v>501</v>
      </c>
      <c r="C272" s="25" t="s">
        <v>457</v>
      </c>
      <c r="D272" s="25" t="s">
        <v>480</v>
      </c>
      <c r="E272" s="25" t="s">
        <v>486</v>
      </c>
      <c r="F272" s="25" t="s">
        <v>502</v>
      </c>
      <c r="G272" s="26">
        <v>940</v>
      </c>
      <c r="H272" s="126">
        <v>255</v>
      </c>
      <c r="I272" s="126">
        <v>215</v>
      </c>
      <c r="J272" s="126">
        <v>470</v>
      </c>
      <c r="K272" s="28">
        <v>784</v>
      </c>
      <c r="L272" s="104">
        <f t="shared" si="115"/>
        <v>515</v>
      </c>
      <c r="M272" s="28">
        <v>255</v>
      </c>
      <c r="N272" s="28">
        <v>98</v>
      </c>
      <c r="O272" s="28">
        <v>162</v>
      </c>
      <c r="P272" s="28">
        <f t="shared" si="119"/>
        <v>269</v>
      </c>
      <c r="Q272" s="28"/>
      <c r="R272" s="28">
        <v>117</v>
      </c>
      <c r="S272" s="28">
        <f t="shared" si="117"/>
        <v>152</v>
      </c>
      <c r="T272" s="26"/>
      <c r="U272" s="105"/>
      <c r="V272" s="128"/>
      <c r="W272" s="128"/>
      <c r="X272" s="128"/>
      <c r="Y272" s="128"/>
      <c r="Z272" s="128"/>
      <c r="AA272" s="128"/>
      <c r="AB272" s="105">
        <f t="shared" si="120"/>
        <v>269</v>
      </c>
      <c r="AC272" s="128"/>
      <c r="AD272" s="128">
        <v>117</v>
      </c>
      <c r="AE272" s="128">
        <f t="shared" si="125"/>
        <v>152</v>
      </c>
      <c r="AF272" s="185"/>
      <c r="AG272" s="185">
        <v>784</v>
      </c>
      <c r="AH272" s="175">
        <f t="shared" si="121"/>
        <v>515</v>
      </c>
      <c r="AI272" s="183">
        <f t="shared" si="122"/>
        <v>255</v>
      </c>
      <c r="AJ272" s="175">
        <f t="shared" si="123"/>
        <v>98</v>
      </c>
      <c r="AK272" s="183">
        <f t="shared" si="124"/>
        <v>162</v>
      </c>
      <c r="AL272" s="183">
        <f t="shared" si="114"/>
        <v>269</v>
      </c>
      <c r="AM272" s="183"/>
      <c r="AN272" s="183">
        <v>117</v>
      </c>
      <c r="AO272" s="183">
        <v>152</v>
      </c>
      <c r="AP272" s="166"/>
      <c r="AQ272" s="166"/>
      <c r="AR272" s="3"/>
      <c r="AS272" s="3"/>
      <c r="AT272" s="3"/>
      <c r="AU272" s="3"/>
      <c r="AV272" s="3"/>
      <c r="AW272" s="3"/>
      <c r="AX272" s="3"/>
      <c r="AY272" s="3"/>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row>
    <row r="273" spans="1:247" ht="74.25" customHeight="1" x14ac:dyDescent="0.3">
      <c r="A273" s="16">
        <v>11</v>
      </c>
      <c r="B273" s="24" t="s">
        <v>503</v>
      </c>
      <c r="C273" s="25" t="s">
        <v>457</v>
      </c>
      <c r="D273" s="25" t="s">
        <v>480</v>
      </c>
      <c r="E273" s="25" t="s">
        <v>483</v>
      </c>
      <c r="F273" s="25" t="s">
        <v>504</v>
      </c>
      <c r="G273" s="26">
        <v>630</v>
      </c>
      <c r="H273" s="126">
        <v>171</v>
      </c>
      <c r="I273" s="126">
        <v>144</v>
      </c>
      <c r="J273" s="126">
        <v>315</v>
      </c>
      <c r="K273" s="28">
        <v>529</v>
      </c>
      <c r="L273" s="104">
        <f t="shared" si="115"/>
        <v>355</v>
      </c>
      <c r="M273" s="28">
        <v>171</v>
      </c>
      <c r="N273" s="28">
        <v>65</v>
      </c>
      <c r="O273" s="28">
        <v>119</v>
      </c>
      <c r="P273" s="28">
        <f t="shared" si="119"/>
        <v>174</v>
      </c>
      <c r="Q273" s="28"/>
      <c r="R273" s="28">
        <v>66</v>
      </c>
      <c r="S273" s="28">
        <v>108</v>
      </c>
      <c r="T273" s="26"/>
      <c r="U273" s="105"/>
      <c r="V273" s="128"/>
      <c r="W273" s="128"/>
      <c r="X273" s="128"/>
      <c r="Y273" s="128"/>
      <c r="Z273" s="128"/>
      <c r="AA273" s="128"/>
      <c r="AB273" s="105">
        <f t="shared" si="120"/>
        <v>174</v>
      </c>
      <c r="AC273" s="128"/>
      <c r="AD273" s="128">
        <v>66</v>
      </c>
      <c r="AE273" s="128">
        <f t="shared" si="125"/>
        <v>108</v>
      </c>
      <c r="AF273" s="185"/>
      <c r="AG273" s="185">
        <v>529</v>
      </c>
      <c r="AH273" s="175">
        <f t="shared" si="121"/>
        <v>355</v>
      </c>
      <c r="AI273" s="183">
        <f t="shared" si="122"/>
        <v>171</v>
      </c>
      <c r="AJ273" s="175">
        <f t="shared" si="123"/>
        <v>65</v>
      </c>
      <c r="AK273" s="183">
        <f t="shared" si="124"/>
        <v>119</v>
      </c>
      <c r="AL273" s="183">
        <f t="shared" si="114"/>
        <v>174</v>
      </c>
      <c r="AM273" s="183"/>
      <c r="AN273" s="183">
        <v>66</v>
      </c>
      <c r="AO273" s="183">
        <v>108</v>
      </c>
      <c r="AP273" s="166"/>
      <c r="AQ273" s="166"/>
      <c r="AR273" s="3"/>
      <c r="AS273" s="3"/>
      <c r="AT273" s="3"/>
      <c r="AU273" s="3"/>
      <c r="AV273" s="3"/>
      <c r="AW273" s="3"/>
      <c r="AX273" s="3"/>
      <c r="AY273" s="3"/>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row>
    <row r="274" spans="1:247" ht="74.25" customHeight="1" x14ac:dyDescent="0.3">
      <c r="A274" s="16">
        <v>12</v>
      </c>
      <c r="B274" s="24" t="s">
        <v>505</v>
      </c>
      <c r="C274" s="25" t="s">
        <v>457</v>
      </c>
      <c r="D274" s="25" t="s">
        <v>480</v>
      </c>
      <c r="E274" s="25" t="s">
        <v>113</v>
      </c>
      <c r="F274" s="25" t="s">
        <v>506</v>
      </c>
      <c r="G274" s="26">
        <v>800</v>
      </c>
      <c r="H274" s="126">
        <v>217</v>
      </c>
      <c r="I274" s="126">
        <v>183</v>
      </c>
      <c r="J274" s="126">
        <v>400</v>
      </c>
      <c r="K274" s="28">
        <v>725</v>
      </c>
      <c r="L274" s="104">
        <f t="shared" si="115"/>
        <v>413</v>
      </c>
      <c r="M274" s="28">
        <v>217</v>
      </c>
      <c r="N274" s="28">
        <v>83</v>
      </c>
      <c r="O274" s="28">
        <v>113</v>
      </c>
      <c r="P274" s="28">
        <f t="shared" si="119"/>
        <v>312</v>
      </c>
      <c r="Q274" s="28"/>
      <c r="R274" s="28">
        <f t="shared" si="116"/>
        <v>100</v>
      </c>
      <c r="S274" s="28">
        <f t="shared" si="117"/>
        <v>212</v>
      </c>
      <c r="T274" s="26"/>
      <c r="U274" s="105"/>
      <c r="V274" s="128"/>
      <c r="W274" s="128"/>
      <c r="X274" s="128"/>
      <c r="Y274" s="128"/>
      <c r="Z274" s="128"/>
      <c r="AA274" s="128"/>
      <c r="AB274" s="105">
        <f t="shared" si="120"/>
        <v>312</v>
      </c>
      <c r="AC274" s="128"/>
      <c r="AD274" s="128">
        <v>100</v>
      </c>
      <c r="AE274" s="128">
        <f t="shared" si="125"/>
        <v>212</v>
      </c>
      <c r="AF274" s="185"/>
      <c r="AG274" s="185">
        <v>725</v>
      </c>
      <c r="AH274" s="175">
        <f t="shared" si="121"/>
        <v>413</v>
      </c>
      <c r="AI274" s="183">
        <f t="shared" si="122"/>
        <v>217</v>
      </c>
      <c r="AJ274" s="175">
        <f t="shared" si="123"/>
        <v>83</v>
      </c>
      <c r="AK274" s="183">
        <f t="shared" si="124"/>
        <v>113</v>
      </c>
      <c r="AL274" s="183">
        <f t="shared" si="114"/>
        <v>312</v>
      </c>
      <c r="AM274" s="183"/>
      <c r="AN274" s="183">
        <f t="shared" si="118"/>
        <v>100</v>
      </c>
      <c r="AO274" s="183">
        <v>212</v>
      </c>
      <c r="AP274" s="166"/>
      <c r="AQ274" s="166"/>
      <c r="AR274" s="3"/>
      <c r="AS274" s="3"/>
      <c r="AT274" s="3"/>
      <c r="AU274" s="3"/>
      <c r="AV274" s="3"/>
      <c r="AW274" s="3"/>
      <c r="AX274" s="3"/>
      <c r="AY274" s="3"/>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row>
    <row r="275" spans="1:247" ht="74.25" customHeight="1" x14ac:dyDescent="0.3">
      <c r="A275" s="16">
        <v>13</v>
      </c>
      <c r="B275" s="24" t="s">
        <v>507</v>
      </c>
      <c r="C275" s="25" t="s">
        <v>457</v>
      </c>
      <c r="D275" s="25" t="s">
        <v>118</v>
      </c>
      <c r="E275" s="25" t="s">
        <v>508</v>
      </c>
      <c r="F275" s="25" t="s">
        <v>509</v>
      </c>
      <c r="G275" s="26">
        <v>1001</v>
      </c>
      <c r="H275" s="143">
        <v>320</v>
      </c>
      <c r="I275" s="143">
        <f t="shared" ref="I275" si="126">G275-H275-J275</f>
        <v>180.5</v>
      </c>
      <c r="J275" s="144">
        <v>500.5</v>
      </c>
      <c r="K275" s="28">
        <v>874</v>
      </c>
      <c r="L275" s="104">
        <f t="shared" si="115"/>
        <v>445</v>
      </c>
      <c r="M275" s="28">
        <v>320</v>
      </c>
      <c r="N275" s="28">
        <v>125</v>
      </c>
      <c r="O275" s="28"/>
      <c r="P275" s="28">
        <f>K275-L275</f>
        <v>429</v>
      </c>
      <c r="Q275" s="28"/>
      <c r="R275" s="28">
        <f>I275-N275</f>
        <v>55.5</v>
      </c>
      <c r="S275" s="28">
        <f t="shared" si="117"/>
        <v>373.5</v>
      </c>
      <c r="T275" s="26"/>
      <c r="U275" s="105"/>
      <c r="V275" s="128"/>
      <c r="W275" s="128"/>
      <c r="X275" s="128"/>
      <c r="Y275" s="128"/>
      <c r="Z275" s="128"/>
      <c r="AA275" s="128"/>
      <c r="AB275" s="105">
        <f t="shared" si="120"/>
        <v>429</v>
      </c>
      <c r="AC275" s="128"/>
      <c r="AD275" s="128">
        <f>R275</f>
        <v>55.5</v>
      </c>
      <c r="AE275" s="128">
        <f>AB275-AD275</f>
        <v>373.5</v>
      </c>
      <c r="AF275" s="185"/>
      <c r="AG275" s="185">
        <v>874</v>
      </c>
      <c r="AH275" s="175">
        <f>AI275+AJ275</f>
        <v>445</v>
      </c>
      <c r="AI275" s="183">
        <f t="shared" si="122"/>
        <v>320</v>
      </c>
      <c r="AJ275" s="175">
        <f t="shared" si="123"/>
        <v>125</v>
      </c>
      <c r="AK275" s="183"/>
      <c r="AL275" s="183">
        <f t="shared" si="114"/>
        <v>429</v>
      </c>
      <c r="AM275" s="183"/>
      <c r="AN275" s="183">
        <f>I275-AJ275</f>
        <v>55.5</v>
      </c>
      <c r="AO275" s="183">
        <f>AL275-AN275</f>
        <v>373.5</v>
      </c>
      <c r="AP275" s="166"/>
      <c r="AQ275" s="166"/>
      <c r="AR275" s="3"/>
      <c r="AS275" s="3"/>
      <c r="AT275" s="3"/>
      <c r="AU275" s="3"/>
      <c r="AV275" s="3"/>
      <c r="AW275" s="3"/>
      <c r="AX275" s="3"/>
      <c r="AY275" s="3"/>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row>
    <row r="276" spans="1:247" ht="18" customHeight="1" x14ac:dyDescent="0.3">
      <c r="A276" s="16">
        <v>11</v>
      </c>
      <c r="B276" s="70" t="s">
        <v>510</v>
      </c>
      <c r="C276" s="20"/>
      <c r="D276" s="20"/>
      <c r="E276" s="20"/>
      <c r="F276" s="20"/>
      <c r="G276" s="21">
        <f t="shared" ref="G276:AO276" si="127">G277+G282</f>
        <v>16805</v>
      </c>
      <c r="H276" s="21">
        <f t="shared" si="127"/>
        <v>2567</v>
      </c>
      <c r="I276" s="21">
        <f t="shared" si="127"/>
        <v>12000</v>
      </c>
      <c r="J276" s="21">
        <f t="shared" si="127"/>
        <v>2238</v>
      </c>
      <c r="K276" s="21">
        <f t="shared" si="127"/>
        <v>10780</v>
      </c>
      <c r="L276" s="21">
        <f t="shared" si="127"/>
        <v>5954</v>
      </c>
      <c r="M276" s="21">
        <f t="shared" si="127"/>
        <v>1474</v>
      </c>
      <c r="N276" s="21">
        <f t="shared" si="127"/>
        <v>3380</v>
      </c>
      <c r="O276" s="21">
        <f t="shared" si="127"/>
        <v>1100</v>
      </c>
      <c r="P276" s="21">
        <f t="shared" si="127"/>
        <v>4826</v>
      </c>
      <c r="Q276" s="21">
        <f t="shared" si="127"/>
        <v>620.82336956521738</v>
      </c>
      <c r="R276" s="21">
        <f t="shared" si="127"/>
        <v>3650.9239130434785</v>
      </c>
      <c r="S276" s="21">
        <f t="shared" si="127"/>
        <v>554.25271739130437</v>
      </c>
      <c r="T276" s="21">
        <f t="shared" si="127"/>
        <v>2517</v>
      </c>
      <c r="U276" s="21">
        <f t="shared" si="127"/>
        <v>2438</v>
      </c>
      <c r="V276" s="21">
        <f t="shared" si="127"/>
        <v>688</v>
      </c>
      <c r="W276" s="21">
        <f t="shared" si="127"/>
        <v>0</v>
      </c>
      <c r="X276" s="21">
        <f t="shared" si="127"/>
        <v>1750</v>
      </c>
      <c r="Y276" s="21">
        <f t="shared" si="127"/>
        <v>0</v>
      </c>
      <c r="Z276" s="21">
        <f t="shared" si="127"/>
        <v>0</v>
      </c>
      <c r="AA276" s="21">
        <f t="shared" si="127"/>
        <v>0</v>
      </c>
      <c r="AB276" s="21">
        <f t="shared" si="127"/>
        <v>4905</v>
      </c>
      <c r="AC276" s="21">
        <f t="shared" si="127"/>
        <v>405</v>
      </c>
      <c r="AD276" s="21">
        <f t="shared" si="127"/>
        <v>3760</v>
      </c>
      <c r="AE276" s="21">
        <f t="shared" si="127"/>
        <v>740</v>
      </c>
      <c r="AF276" s="173">
        <f t="shared" si="127"/>
        <v>8993</v>
      </c>
      <c r="AG276" s="173">
        <f t="shared" si="127"/>
        <v>7797</v>
      </c>
      <c r="AH276" s="173">
        <f t="shared" si="127"/>
        <v>8392</v>
      </c>
      <c r="AI276" s="173">
        <f t="shared" si="127"/>
        <v>2162</v>
      </c>
      <c r="AJ276" s="173">
        <f t="shared" si="127"/>
        <v>5130</v>
      </c>
      <c r="AK276" s="173">
        <f t="shared" si="127"/>
        <v>1100</v>
      </c>
      <c r="AL276" s="173">
        <f t="shared" si="127"/>
        <v>8398</v>
      </c>
      <c r="AM276" s="173">
        <f t="shared" si="127"/>
        <v>405</v>
      </c>
      <c r="AN276" s="173">
        <f t="shared" si="127"/>
        <v>6870</v>
      </c>
      <c r="AO276" s="173">
        <f t="shared" si="127"/>
        <v>1123</v>
      </c>
      <c r="AP276" s="166"/>
      <c r="AQ276" s="166"/>
      <c r="AR276" s="3"/>
      <c r="AS276" s="3"/>
      <c r="AT276" s="3"/>
      <c r="AU276" s="3"/>
      <c r="AV276" s="3"/>
      <c r="AW276" s="3"/>
      <c r="AX276" s="3"/>
      <c r="AY276" s="3"/>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row>
    <row r="277" spans="1:247" ht="25.2" customHeight="1" x14ac:dyDescent="0.3">
      <c r="A277" s="16" t="s">
        <v>42</v>
      </c>
      <c r="B277" s="74" t="s">
        <v>43</v>
      </c>
      <c r="C277" s="107"/>
      <c r="D277" s="20"/>
      <c r="E277" s="20"/>
      <c r="F277" s="20"/>
      <c r="G277" s="21">
        <f>SUM(G278:G281)</f>
        <v>13493</v>
      </c>
      <c r="H277" s="21">
        <f t="shared" ref="H277:AO277" si="128">SUM(H278:H281)</f>
        <v>0</v>
      </c>
      <c r="I277" s="21">
        <f t="shared" si="128"/>
        <v>11500</v>
      </c>
      <c r="J277" s="21">
        <f t="shared" si="128"/>
        <v>1993</v>
      </c>
      <c r="K277" s="21">
        <f t="shared" si="128"/>
        <v>8505</v>
      </c>
      <c r="L277" s="21">
        <f t="shared" si="128"/>
        <v>4480</v>
      </c>
      <c r="M277" s="21">
        <f t="shared" si="128"/>
        <v>0</v>
      </c>
      <c r="N277" s="21">
        <f t="shared" si="128"/>
        <v>3380</v>
      </c>
      <c r="O277" s="21">
        <f t="shared" si="128"/>
        <v>1100</v>
      </c>
      <c r="P277" s="21">
        <f t="shared" si="128"/>
        <v>4025</v>
      </c>
      <c r="Q277" s="21">
        <f t="shared" si="128"/>
        <v>0</v>
      </c>
      <c r="R277" s="21">
        <f t="shared" si="128"/>
        <v>3530</v>
      </c>
      <c r="S277" s="21">
        <f t="shared" si="128"/>
        <v>495</v>
      </c>
      <c r="T277" s="21">
        <f t="shared" si="128"/>
        <v>1480</v>
      </c>
      <c r="U277" s="21">
        <f t="shared" si="128"/>
        <v>1750</v>
      </c>
      <c r="V277" s="21">
        <f t="shared" si="128"/>
        <v>0</v>
      </c>
      <c r="W277" s="21">
        <f t="shared" si="128"/>
        <v>0</v>
      </c>
      <c r="X277" s="21">
        <f t="shared" si="128"/>
        <v>1750</v>
      </c>
      <c r="Y277" s="21">
        <f t="shared" si="128"/>
        <v>0</v>
      </c>
      <c r="Z277" s="21">
        <f t="shared" si="128"/>
        <v>0</v>
      </c>
      <c r="AA277" s="21">
        <f t="shared" si="128"/>
        <v>0</v>
      </c>
      <c r="AB277" s="21">
        <f t="shared" si="128"/>
        <v>3755</v>
      </c>
      <c r="AC277" s="21">
        <f t="shared" si="128"/>
        <v>0</v>
      </c>
      <c r="AD277" s="21">
        <f t="shared" si="128"/>
        <v>3260</v>
      </c>
      <c r="AE277" s="21">
        <f t="shared" si="128"/>
        <v>495</v>
      </c>
      <c r="AF277" s="173">
        <f t="shared" si="128"/>
        <v>8993</v>
      </c>
      <c r="AG277" s="173">
        <f t="shared" si="128"/>
        <v>4485</v>
      </c>
      <c r="AH277" s="173">
        <f t="shared" si="128"/>
        <v>6230</v>
      </c>
      <c r="AI277" s="173">
        <f t="shared" si="128"/>
        <v>0</v>
      </c>
      <c r="AJ277" s="173">
        <f t="shared" si="128"/>
        <v>5130</v>
      </c>
      <c r="AK277" s="173">
        <f t="shared" si="128"/>
        <v>1100</v>
      </c>
      <c r="AL277" s="173">
        <f t="shared" si="128"/>
        <v>7248</v>
      </c>
      <c r="AM277" s="173">
        <f t="shared" si="128"/>
        <v>0</v>
      </c>
      <c r="AN277" s="173">
        <f t="shared" si="128"/>
        <v>6370</v>
      </c>
      <c r="AO277" s="173">
        <f t="shared" si="128"/>
        <v>878</v>
      </c>
      <c r="AP277" s="166"/>
      <c r="AQ277" s="166"/>
      <c r="AR277" s="3"/>
      <c r="AS277" s="3"/>
      <c r="AT277" s="3"/>
      <c r="AU277" s="3"/>
      <c r="AV277" s="3"/>
      <c r="AW277" s="3"/>
      <c r="AX277" s="3"/>
      <c r="AY277" s="3"/>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row>
    <row r="278" spans="1:247" ht="74.25" customHeight="1" x14ac:dyDescent="0.3">
      <c r="A278" s="16">
        <v>1</v>
      </c>
      <c r="B278" s="24" t="s">
        <v>511</v>
      </c>
      <c r="C278" s="25" t="s">
        <v>512</v>
      </c>
      <c r="D278" s="25">
        <v>2022</v>
      </c>
      <c r="E278" s="25">
        <v>2024</v>
      </c>
      <c r="F278" s="25" t="s">
        <v>513</v>
      </c>
      <c r="G278" s="26">
        <v>4500</v>
      </c>
      <c r="H278" s="126"/>
      <c r="I278" s="126">
        <v>4000</v>
      </c>
      <c r="J278" s="126">
        <v>500</v>
      </c>
      <c r="K278" s="28">
        <v>3020</v>
      </c>
      <c r="L278" s="104">
        <f>M278+N278+O278</f>
        <v>1800</v>
      </c>
      <c r="M278" s="28"/>
      <c r="N278" s="28">
        <v>1400</v>
      </c>
      <c r="O278" s="28">
        <v>400</v>
      </c>
      <c r="P278" s="28">
        <f>K278-L278</f>
        <v>1220</v>
      </c>
      <c r="Q278" s="28"/>
      <c r="R278" s="28">
        <v>1120</v>
      </c>
      <c r="S278" s="28">
        <v>100</v>
      </c>
      <c r="T278" s="26">
        <v>1480</v>
      </c>
      <c r="U278" s="105">
        <f>V278+W278+X278+Y278+Z278+AA278</f>
        <v>800</v>
      </c>
      <c r="V278" s="29"/>
      <c r="W278" s="29"/>
      <c r="X278" s="29">
        <v>800</v>
      </c>
      <c r="Y278" s="29"/>
      <c r="Z278" s="29"/>
      <c r="AA278" s="29"/>
      <c r="AB278" s="105">
        <f>P278+T278-U278</f>
        <v>1900</v>
      </c>
      <c r="AC278" s="29"/>
      <c r="AD278" s="29">
        <f>R278-X278+T278</f>
        <v>1800</v>
      </c>
      <c r="AE278" s="29">
        <v>100</v>
      </c>
      <c r="AF278" s="185">
        <v>4500</v>
      </c>
      <c r="AG278" s="185"/>
      <c r="AH278" s="183">
        <f>L278+U278</f>
        <v>2600</v>
      </c>
      <c r="AI278" s="183"/>
      <c r="AJ278" s="183">
        <f>N278+X278+Y278</f>
        <v>2200</v>
      </c>
      <c r="AK278" s="183">
        <f>O278+AA278+Z278</f>
        <v>400</v>
      </c>
      <c r="AL278" s="183">
        <f>G278-AH278</f>
        <v>1900</v>
      </c>
      <c r="AM278" s="183"/>
      <c r="AN278" s="183">
        <f>I278-AJ278</f>
        <v>1800</v>
      </c>
      <c r="AO278" s="183">
        <f>J278-AK278</f>
        <v>100</v>
      </c>
      <c r="AP278" s="166"/>
      <c r="AQ278" s="166"/>
      <c r="AR278" s="3"/>
      <c r="AS278" s="3"/>
      <c r="AT278" s="3"/>
      <c r="AU278" s="3"/>
      <c r="AV278" s="3"/>
      <c r="AW278" s="3"/>
      <c r="AX278" s="3"/>
      <c r="AY278" s="3"/>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row>
    <row r="279" spans="1:247" ht="74.25" customHeight="1" x14ac:dyDescent="0.3">
      <c r="A279" s="16">
        <v>2</v>
      </c>
      <c r="B279" s="24" t="s">
        <v>514</v>
      </c>
      <c r="C279" s="25" t="s">
        <v>512</v>
      </c>
      <c r="D279" s="25">
        <v>2022</v>
      </c>
      <c r="E279" s="25">
        <v>2023</v>
      </c>
      <c r="F279" s="25" t="s">
        <v>515</v>
      </c>
      <c r="G279" s="26">
        <v>2000</v>
      </c>
      <c r="H279" s="126"/>
      <c r="I279" s="126">
        <v>1500</v>
      </c>
      <c r="J279" s="126">
        <v>500</v>
      </c>
      <c r="K279" s="28">
        <v>1993</v>
      </c>
      <c r="L279" s="104">
        <f>M279+N279+O279</f>
        <v>1050</v>
      </c>
      <c r="M279" s="28"/>
      <c r="N279" s="28">
        <v>700</v>
      </c>
      <c r="O279" s="28">
        <v>350</v>
      </c>
      <c r="P279" s="28">
        <f>K279-L279</f>
        <v>943</v>
      </c>
      <c r="Q279" s="28"/>
      <c r="R279" s="28">
        <v>800</v>
      </c>
      <c r="S279" s="28">
        <v>143</v>
      </c>
      <c r="T279" s="26"/>
      <c r="U279" s="105">
        <f>V279+W279+X279+Y279+Z279+AA279</f>
        <v>350</v>
      </c>
      <c r="V279" s="29"/>
      <c r="W279" s="29"/>
      <c r="X279" s="29">
        <v>350</v>
      </c>
      <c r="Y279" s="29"/>
      <c r="Z279" s="29"/>
      <c r="AA279" s="29"/>
      <c r="AB279" s="105">
        <f>P279+T279-U279</f>
        <v>593</v>
      </c>
      <c r="AC279" s="29"/>
      <c r="AD279" s="29">
        <f>R279-X279+T279</f>
        <v>450</v>
      </c>
      <c r="AE279" s="29">
        <v>143</v>
      </c>
      <c r="AF279" s="185"/>
      <c r="AG279" s="185">
        <v>1993</v>
      </c>
      <c r="AH279" s="183">
        <f>L279+U279</f>
        <v>1400</v>
      </c>
      <c r="AI279" s="183"/>
      <c r="AJ279" s="183">
        <f>N279+X279+Y279</f>
        <v>1050</v>
      </c>
      <c r="AK279" s="183">
        <f>O279+AA279+Z279</f>
        <v>350</v>
      </c>
      <c r="AL279" s="183">
        <f>AG279-AH279</f>
        <v>593</v>
      </c>
      <c r="AM279" s="183"/>
      <c r="AN279" s="183">
        <v>450</v>
      </c>
      <c r="AO279" s="183">
        <v>143</v>
      </c>
      <c r="AP279" s="166"/>
      <c r="AQ279" s="166"/>
      <c r="AR279" s="3"/>
      <c r="AS279" s="3"/>
      <c r="AT279" s="3"/>
      <c r="AU279" s="3"/>
      <c r="AV279" s="3"/>
      <c r="AW279" s="3"/>
      <c r="AX279" s="3"/>
      <c r="AY279" s="3"/>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row>
    <row r="280" spans="1:247" ht="74.25" customHeight="1" x14ac:dyDescent="0.3">
      <c r="A280" s="16">
        <v>3</v>
      </c>
      <c r="B280" s="24" t="s">
        <v>516</v>
      </c>
      <c r="C280" s="25" t="s">
        <v>512</v>
      </c>
      <c r="D280" s="25">
        <v>2022</v>
      </c>
      <c r="E280" s="25">
        <v>2023</v>
      </c>
      <c r="F280" s="25" t="s">
        <v>517</v>
      </c>
      <c r="G280" s="26">
        <v>2500</v>
      </c>
      <c r="H280" s="126"/>
      <c r="I280" s="126">
        <v>2000</v>
      </c>
      <c r="J280" s="126">
        <v>500</v>
      </c>
      <c r="K280" s="28">
        <v>2492</v>
      </c>
      <c r="L280" s="104">
        <f>M280+N280+O280</f>
        <v>1130</v>
      </c>
      <c r="M280" s="28"/>
      <c r="N280" s="28">
        <v>780</v>
      </c>
      <c r="O280" s="28">
        <v>350</v>
      </c>
      <c r="P280" s="28">
        <f>K280-L280</f>
        <v>1362</v>
      </c>
      <c r="Q280" s="28"/>
      <c r="R280" s="28">
        <f>I280-N280</f>
        <v>1220</v>
      </c>
      <c r="S280" s="28">
        <v>142</v>
      </c>
      <c r="T280" s="26"/>
      <c r="U280" s="105">
        <f>V280+W280+X280+Y280+Z280+AA280</f>
        <v>500</v>
      </c>
      <c r="V280" s="29"/>
      <c r="W280" s="29"/>
      <c r="X280" s="29">
        <v>500</v>
      </c>
      <c r="Y280" s="29"/>
      <c r="Z280" s="29"/>
      <c r="AA280" s="29"/>
      <c r="AB280" s="105">
        <f>P280+T280-U280</f>
        <v>862</v>
      </c>
      <c r="AC280" s="29"/>
      <c r="AD280" s="29">
        <v>720</v>
      </c>
      <c r="AE280" s="29">
        <v>142</v>
      </c>
      <c r="AF280" s="185"/>
      <c r="AG280" s="185">
        <v>2492</v>
      </c>
      <c r="AH280" s="183">
        <f>L280+U280</f>
        <v>1630</v>
      </c>
      <c r="AI280" s="183"/>
      <c r="AJ280" s="183">
        <f>N280+X280+Y280</f>
        <v>1280</v>
      </c>
      <c r="AK280" s="183">
        <f>O280+AA280+Z280</f>
        <v>350</v>
      </c>
      <c r="AL280" s="183">
        <f>AG280-AH280</f>
        <v>862</v>
      </c>
      <c r="AM280" s="183"/>
      <c r="AN280" s="183">
        <v>720</v>
      </c>
      <c r="AO280" s="183">
        <v>142</v>
      </c>
      <c r="AP280" s="166"/>
      <c r="AQ280" s="166"/>
      <c r="AR280" s="3"/>
      <c r="AS280" s="3"/>
      <c r="AT280" s="3"/>
      <c r="AU280" s="3"/>
      <c r="AV280" s="3"/>
      <c r="AW280" s="3"/>
      <c r="AX280" s="3"/>
      <c r="AY280" s="3"/>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row>
    <row r="281" spans="1:247" ht="74.25" customHeight="1" x14ac:dyDescent="0.3">
      <c r="A281" s="16">
        <v>4</v>
      </c>
      <c r="B281" s="24" t="s">
        <v>518</v>
      </c>
      <c r="C281" s="25" t="s">
        <v>512</v>
      </c>
      <c r="D281" s="25">
        <v>2023</v>
      </c>
      <c r="E281" s="25">
        <v>2025</v>
      </c>
      <c r="F281" s="25" t="s">
        <v>519</v>
      </c>
      <c r="G281" s="26">
        <v>4493</v>
      </c>
      <c r="H281" s="126"/>
      <c r="I281" s="126">
        <v>4000</v>
      </c>
      <c r="J281" s="126">
        <v>493</v>
      </c>
      <c r="K281" s="28">
        <v>1000</v>
      </c>
      <c r="L281" s="104">
        <f>M281+N281+O281</f>
        <v>500</v>
      </c>
      <c r="M281" s="28"/>
      <c r="N281" s="28">
        <v>500</v>
      </c>
      <c r="O281" s="28"/>
      <c r="P281" s="28">
        <f>K281-L281</f>
        <v>500</v>
      </c>
      <c r="Q281" s="28"/>
      <c r="R281" s="28">
        <v>390</v>
      </c>
      <c r="S281" s="28">
        <f>P281-R281</f>
        <v>110</v>
      </c>
      <c r="T281" s="26"/>
      <c r="U281" s="105">
        <f>V281+W281+X281+Y281+Z281+AA281</f>
        <v>100</v>
      </c>
      <c r="V281" s="29"/>
      <c r="W281" s="29"/>
      <c r="X281" s="29">
        <v>100</v>
      </c>
      <c r="Y281" s="29"/>
      <c r="Z281" s="29"/>
      <c r="AA281" s="29"/>
      <c r="AB281" s="105">
        <f>P281+T281-U281</f>
        <v>400</v>
      </c>
      <c r="AC281" s="29"/>
      <c r="AD281" s="29">
        <f>R281-X281</f>
        <v>290</v>
      </c>
      <c r="AE281" s="29">
        <f>S281-Z281</f>
        <v>110</v>
      </c>
      <c r="AF281" s="185">
        <v>4493</v>
      </c>
      <c r="AG281" s="185"/>
      <c r="AH281" s="183">
        <f>L281+U281</f>
        <v>600</v>
      </c>
      <c r="AI281" s="183"/>
      <c r="AJ281" s="183">
        <f>N281+X281+Y281</f>
        <v>600</v>
      </c>
      <c r="AK281" s="183"/>
      <c r="AL281" s="183">
        <f>G281-AH281</f>
        <v>3893</v>
      </c>
      <c r="AM281" s="183"/>
      <c r="AN281" s="183">
        <f>I281-AJ281</f>
        <v>3400</v>
      </c>
      <c r="AO281" s="183">
        <f>J281</f>
        <v>493</v>
      </c>
      <c r="AP281" s="166"/>
      <c r="AQ281" s="166"/>
      <c r="AR281" s="3"/>
      <c r="AS281" s="3"/>
      <c r="AT281" s="3"/>
      <c r="AU281" s="3"/>
      <c r="AV281" s="3"/>
      <c r="AW281" s="3"/>
      <c r="AX281" s="3"/>
      <c r="AY281" s="3"/>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row>
    <row r="282" spans="1:247" ht="29.25" customHeight="1" x14ac:dyDescent="0.3">
      <c r="A282" s="23" t="s">
        <v>71</v>
      </c>
      <c r="B282" s="133" t="s">
        <v>353</v>
      </c>
      <c r="C282" s="25"/>
      <c r="D282" s="129"/>
      <c r="E282" s="129"/>
      <c r="F282" s="134"/>
      <c r="G282" s="21">
        <f>G283</f>
        <v>3312</v>
      </c>
      <c r="H282" s="21">
        <f t="shared" ref="H282:AO282" si="129">H283</f>
        <v>2567</v>
      </c>
      <c r="I282" s="21">
        <f t="shared" si="129"/>
        <v>500</v>
      </c>
      <c r="J282" s="21">
        <f t="shared" si="129"/>
        <v>245</v>
      </c>
      <c r="K282" s="21">
        <f t="shared" si="129"/>
        <v>2275</v>
      </c>
      <c r="L282" s="21">
        <f t="shared" si="129"/>
        <v>1474</v>
      </c>
      <c r="M282" s="21">
        <f t="shared" si="129"/>
        <v>1474</v>
      </c>
      <c r="N282" s="21">
        <f t="shared" si="129"/>
        <v>0</v>
      </c>
      <c r="O282" s="21">
        <f t="shared" si="129"/>
        <v>0</v>
      </c>
      <c r="P282" s="21">
        <f t="shared" si="129"/>
        <v>801</v>
      </c>
      <c r="Q282" s="21">
        <f t="shared" si="129"/>
        <v>620.82336956521738</v>
      </c>
      <c r="R282" s="21">
        <f t="shared" si="129"/>
        <v>120.92391304347827</v>
      </c>
      <c r="S282" s="21">
        <f t="shared" si="129"/>
        <v>59.252717391304344</v>
      </c>
      <c r="T282" s="21">
        <f t="shared" si="129"/>
        <v>1037</v>
      </c>
      <c r="U282" s="21">
        <f t="shared" si="129"/>
        <v>688</v>
      </c>
      <c r="V282" s="21">
        <f t="shared" si="129"/>
        <v>688</v>
      </c>
      <c r="W282" s="21">
        <f t="shared" si="129"/>
        <v>0</v>
      </c>
      <c r="X282" s="21">
        <f t="shared" si="129"/>
        <v>0</v>
      </c>
      <c r="Y282" s="21">
        <f t="shared" si="129"/>
        <v>0</v>
      </c>
      <c r="Z282" s="21">
        <f t="shared" si="129"/>
        <v>0</v>
      </c>
      <c r="AA282" s="21">
        <f t="shared" si="129"/>
        <v>0</v>
      </c>
      <c r="AB282" s="21">
        <f t="shared" si="129"/>
        <v>1150</v>
      </c>
      <c r="AC282" s="21">
        <f t="shared" si="129"/>
        <v>405</v>
      </c>
      <c r="AD282" s="21">
        <f t="shared" si="129"/>
        <v>500</v>
      </c>
      <c r="AE282" s="21">
        <f t="shared" si="129"/>
        <v>245</v>
      </c>
      <c r="AF282" s="173">
        <f t="shared" si="129"/>
        <v>0</v>
      </c>
      <c r="AG282" s="173">
        <f t="shared" si="129"/>
        <v>3312</v>
      </c>
      <c r="AH282" s="173">
        <f t="shared" si="129"/>
        <v>2162</v>
      </c>
      <c r="AI282" s="173">
        <f t="shared" si="129"/>
        <v>2162</v>
      </c>
      <c r="AJ282" s="173">
        <f t="shared" si="129"/>
        <v>0</v>
      </c>
      <c r="AK282" s="173">
        <f t="shared" si="129"/>
        <v>0</v>
      </c>
      <c r="AL282" s="173">
        <f t="shared" si="129"/>
        <v>1150</v>
      </c>
      <c r="AM282" s="173">
        <f t="shared" si="129"/>
        <v>405</v>
      </c>
      <c r="AN282" s="173">
        <f t="shared" si="129"/>
        <v>500</v>
      </c>
      <c r="AO282" s="173">
        <f t="shared" si="129"/>
        <v>245</v>
      </c>
      <c r="AP282" s="166"/>
      <c r="AQ282" s="166"/>
      <c r="AR282" s="3"/>
      <c r="AS282" s="3"/>
      <c r="AT282" s="3"/>
      <c r="AU282" s="3"/>
      <c r="AV282" s="3"/>
      <c r="AW282" s="3"/>
      <c r="AX282" s="3"/>
      <c r="AY282" s="3"/>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row>
    <row r="283" spans="1:247" ht="74.25" customHeight="1" x14ac:dyDescent="0.3">
      <c r="A283" s="16">
        <v>1</v>
      </c>
      <c r="B283" s="24" t="s">
        <v>520</v>
      </c>
      <c r="C283" s="25" t="s">
        <v>512</v>
      </c>
      <c r="D283" s="25">
        <v>2022</v>
      </c>
      <c r="E283" s="25">
        <v>2022</v>
      </c>
      <c r="F283" s="25" t="s">
        <v>521</v>
      </c>
      <c r="G283" s="26">
        <v>3312</v>
      </c>
      <c r="H283" s="126">
        <v>2567</v>
      </c>
      <c r="I283" s="126">
        <v>500</v>
      </c>
      <c r="J283" s="126">
        <f>G283-H283-I283</f>
        <v>245</v>
      </c>
      <c r="K283" s="28">
        <v>2275</v>
      </c>
      <c r="L283" s="104">
        <f>M283+N283+O283</f>
        <v>1474</v>
      </c>
      <c r="M283" s="28">
        <v>1474</v>
      </c>
      <c r="N283" s="28"/>
      <c r="O283" s="28"/>
      <c r="P283" s="28">
        <f>K283-L283</f>
        <v>801</v>
      </c>
      <c r="Q283" s="28">
        <v>620.82336956521738</v>
      </c>
      <c r="R283" s="28">
        <v>120.92391304347827</v>
      </c>
      <c r="S283" s="28">
        <v>59.252717391304344</v>
      </c>
      <c r="T283" s="26">
        <v>1037</v>
      </c>
      <c r="U283" s="105">
        <f>V283+W283+X283+Y283+Z283+AA283</f>
        <v>688</v>
      </c>
      <c r="V283" s="29">
        <v>688</v>
      </c>
      <c r="W283" s="29"/>
      <c r="X283" s="29">
        <v>0</v>
      </c>
      <c r="Y283" s="29"/>
      <c r="Z283" s="29"/>
      <c r="AA283" s="29"/>
      <c r="AB283" s="105">
        <f>P283+T283-U283</f>
        <v>1150</v>
      </c>
      <c r="AC283" s="29">
        <v>405</v>
      </c>
      <c r="AD283" s="29">
        <v>500</v>
      </c>
      <c r="AE283" s="29">
        <v>245</v>
      </c>
      <c r="AF283" s="185"/>
      <c r="AG283" s="185">
        <v>3312</v>
      </c>
      <c r="AH283" s="183">
        <f>L283+U283</f>
        <v>2162</v>
      </c>
      <c r="AI283" s="183">
        <v>2162</v>
      </c>
      <c r="AJ283" s="183"/>
      <c r="AK283" s="183"/>
      <c r="AL283" s="183">
        <f>AG283-AH283</f>
        <v>1150</v>
      </c>
      <c r="AM283" s="183">
        <v>405</v>
      </c>
      <c r="AN283" s="183">
        <v>500</v>
      </c>
      <c r="AO283" s="183">
        <v>245</v>
      </c>
      <c r="AP283" s="166"/>
      <c r="AQ283" s="166"/>
      <c r="AR283" s="3"/>
      <c r="AS283" s="3"/>
      <c r="AT283" s="3"/>
      <c r="AU283" s="3"/>
      <c r="AV283" s="3"/>
      <c r="AW283" s="3"/>
      <c r="AX283" s="3"/>
      <c r="AY283" s="3"/>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row>
    <row r="284" spans="1:247" ht="47.25" hidden="1" customHeight="1" x14ac:dyDescent="0.3">
      <c r="A284" s="89">
        <v>2</v>
      </c>
      <c r="B284" s="90" t="s">
        <v>522</v>
      </c>
      <c r="C284" s="91" t="s">
        <v>512</v>
      </c>
      <c r="D284" s="92">
        <v>2023</v>
      </c>
      <c r="E284" s="92">
        <v>2023</v>
      </c>
      <c r="F284" s="93" t="s">
        <v>523</v>
      </c>
      <c r="G284" s="94">
        <v>300</v>
      </c>
      <c r="H284" s="94">
        <v>200</v>
      </c>
      <c r="I284" s="94"/>
      <c r="J284" s="94">
        <v>100</v>
      </c>
      <c r="K284" s="95"/>
      <c r="L284" s="95"/>
      <c r="M284" s="95"/>
      <c r="N284" s="95"/>
      <c r="O284" s="96"/>
      <c r="P284" s="40"/>
      <c r="Q284" s="40"/>
      <c r="R284" s="40"/>
      <c r="S284" s="40"/>
      <c r="T284" s="97"/>
      <c r="U284" s="98"/>
      <c r="V284" s="98"/>
      <c r="W284" s="98"/>
      <c r="X284" s="98"/>
      <c r="Y284" s="98"/>
      <c r="Z284" s="98"/>
      <c r="AA284" s="98"/>
      <c r="AB284" s="98"/>
      <c r="AC284" s="98"/>
      <c r="AD284" s="98"/>
      <c r="AE284" s="98"/>
      <c r="AF284" s="190"/>
      <c r="AG284" s="177"/>
      <c r="AH284" s="177"/>
      <c r="AI284" s="177"/>
      <c r="AJ284" s="177"/>
      <c r="AK284" s="177"/>
      <c r="AL284" s="177"/>
      <c r="AM284" s="177"/>
      <c r="AN284" s="177"/>
      <c r="AO284" s="177"/>
      <c r="AP284" s="166"/>
      <c r="AQ284" s="166"/>
      <c r="AR284" s="3"/>
      <c r="AS284" s="3"/>
      <c r="AT284" s="3"/>
      <c r="AU284" s="3"/>
      <c r="AV284" s="3"/>
      <c r="AW284" s="3"/>
      <c r="AX284" s="3"/>
      <c r="AY284" s="3"/>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row>
    <row r="285" spans="1:247" ht="18" customHeight="1" x14ac:dyDescent="0.3">
      <c r="A285" s="16">
        <v>12</v>
      </c>
      <c r="B285" s="70" t="s">
        <v>524</v>
      </c>
      <c r="C285" s="20"/>
      <c r="D285" s="20"/>
      <c r="E285" s="20"/>
      <c r="F285" s="20"/>
      <c r="G285" s="21">
        <f t="shared" ref="G285:AA285" si="130">ROUND(G286+G300,0)</f>
        <v>49936</v>
      </c>
      <c r="H285" s="21">
        <f t="shared" si="130"/>
        <v>1600</v>
      </c>
      <c r="I285" s="21">
        <f t="shared" si="130"/>
        <v>41500</v>
      </c>
      <c r="J285" s="21">
        <f t="shared" si="130"/>
        <v>6836</v>
      </c>
      <c r="K285" s="21">
        <f t="shared" si="130"/>
        <v>26943</v>
      </c>
      <c r="L285" s="21">
        <f t="shared" si="130"/>
        <v>17352</v>
      </c>
      <c r="M285" s="21">
        <f t="shared" si="130"/>
        <v>1550</v>
      </c>
      <c r="N285" s="21">
        <f t="shared" si="130"/>
        <v>15802</v>
      </c>
      <c r="O285" s="21">
        <f t="shared" si="130"/>
        <v>0</v>
      </c>
      <c r="P285" s="21">
        <f t="shared" si="130"/>
        <v>10135</v>
      </c>
      <c r="Q285" s="21">
        <f t="shared" si="130"/>
        <v>50</v>
      </c>
      <c r="R285" s="21">
        <f t="shared" si="130"/>
        <v>6819</v>
      </c>
      <c r="S285" s="21">
        <f t="shared" si="130"/>
        <v>3266</v>
      </c>
      <c r="T285" s="21">
        <f t="shared" si="130"/>
        <v>6211</v>
      </c>
      <c r="U285" s="21">
        <f t="shared" si="130"/>
        <v>5049</v>
      </c>
      <c r="V285" s="21">
        <f t="shared" si="130"/>
        <v>50</v>
      </c>
      <c r="W285" s="21">
        <f t="shared" si="130"/>
        <v>0</v>
      </c>
      <c r="X285" s="21">
        <f t="shared" si="130"/>
        <v>1942</v>
      </c>
      <c r="Y285" s="21">
        <f t="shared" si="130"/>
        <v>3057</v>
      </c>
      <c r="Z285" s="21">
        <f t="shared" si="130"/>
        <v>0</v>
      </c>
      <c r="AA285" s="21">
        <f t="shared" si="130"/>
        <v>0</v>
      </c>
      <c r="AB285" s="21">
        <f>ROUND(AB286+AB300,0)</f>
        <v>10781</v>
      </c>
      <c r="AC285" s="21">
        <f t="shared" ref="AC285:AO285" si="131">ROUND(AC286+AC300,0)</f>
        <v>0</v>
      </c>
      <c r="AD285" s="21">
        <f t="shared" si="131"/>
        <v>7566</v>
      </c>
      <c r="AE285" s="21">
        <f t="shared" si="131"/>
        <v>3215</v>
      </c>
      <c r="AF285" s="173">
        <f t="shared" si="131"/>
        <v>20579</v>
      </c>
      <c r="AG285" s="173">
        <f t="shared" si="131"/>
        <v>12575</v>
      </c>
      <c r="AH285" s="173">
        <f t="shared" si="131"/>
        <v>22401</v>
      </c>
      <c r="AI285" s="173">
        <f t="shared" si="131"/>
        <v>1600</v>
      </c>
      <c r="AJ285" s="173">
        <f t="shared" si="131"/>
        <v>20801</v>
      </c>
      <c r="AK285" s="173">
        <f t="shared" si="131"/>
        <v>0</v>
      </c>
      <c r="AL285" s="173">
        <f t="shared" si="131"/>
        <v>27462</v>
      </c>
      <c r="AM285" s="173">
        <f t="shared" si="131"/>
        <v>0</v>
      </c>
      <c r="AN285" s="173">
        <f t="shared" si="131"/>
        <v>20627</v>
      </c>
      <c r="AO285" s="173">
        <f t="shared" si="131"/>
        <v>6835</v>
      </c>
      <c r="AP285" s="166"/>
      <c r="AQ285" s="166"/>
      <c r="AR285" s="3"/>
      <c r="AS285" s="3"/>
      <c r="AT285" s="3"/>
      <c r="AU285" s="3"/>
      <c r="AV285" s="3"/>
      <c r="AW285" s="3"/>
      <c r="AX285" s="3"/>
      <c r="AY285" s="3"/>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row>
    <row r="286" spans="1:247" ht="25.2" customHeight="1" x14ac:dyDescent="0.3">
      <c r="A286" s="16" t="s">
        <v>42</v>
      </c>
      <c r="B286" s="74" t="s">
        <v>43</v>
      </c>
      <c r="C286" s="107"/>
      <c r="D286" s="20"/>
      <c r="E286" s="20"/>
      <c r="F286" s="20"/>
      <c r="G286" s="21">
        <f>SUM(G287:G299)</f>
        <v>49486</v>
      </c>
      <c r="H286" s="21">
        <f t="shared" ref="H286:AO286" si="132">SUM(H287:H299)</f>
        <v>1300</v>
      </c>
      <c r="I286" s="21">
        <f t="shared" si="132"/>
        <v>41400</v>
      </c>
      <c r="J286" s="21">
        <f t="shared" si="132"/>
        <v>6786</v>
      </c>
      <c r="K286" s="21">
        <f t="shared" si="132"/>
        <v>26493</v>
      </c>
      <c r="L286" s="21">
        <f t="shared" si="132"/>
        <v>17102</v>
      </c>
      <c r="M286" s="21">
        <f t="shared" si="132"/>
        <v>1300</v>
      </c>
      <c r="N286" s="21">
        <f t="shared" si="132"/>
        <v>15802</v>
      </c>
      <c r="O286" s="21">
        <f t="shared" si="132"/>
        <v>0</v>
      </c>
      <c r="P286" s="21">
        <f>SUM(P287:P299)</f>
        <v>9935</v>
      </c>
      <c r="Q286" s="21">
        <f t="shared" si="132"/>
        <v>0</v>
      </c>
      <c r="R286" s="21">
        <f>SUM(R287:R299)</f>
        <v>6718.5675692058812</v>
      </c>
      <c r="S286" s="21">
        <f>SUM(S287:S299)</f>
        <v>3216.4324307941179</v>
      </c>
      <c r="T286" s="21">
        <f t="shared" si="132"/>
        <v>6211</v>
      </c>
      <c r="U286" s="21">
        <f t="shared" si="132"/>
        <v>4999</v>
      </c>
      <c r="V286" s="21">
        <f t="shared" si="132"/>
        <v>0</v>
      </c>
      <c r="W286" s="21">
        <f t="shared" si="132"/>
        <v>0</v>
      </c>
      <c r="X286" s="21">
        <f t="shared" si="132"/>
        <v>1942</v>
      </c>
      <c r="Y286" s="21">
        <f t="shared" si="132"/>
        <v>3057</v>
      </c>
      <c r="Z286" s="21">
        <f t="shared" si="132"/>
        <v>0</v>
      </c>
      <c r="AA286" s="21">
        <f t="shared" si="132"/>
        <v>0</v>
      </c>
      <c r="AB286" s="21">
        <f t="shared" si="132"/>
        <v>10631</v>
      </c>
      <c r="AC286" s="21">
        <f t="shared" si="132"/>
        <v>0</v>
      </c>
      <c r="AD286" s="21">
        <f t="shared" si="132"/>
        <v>7466.0356090273717</v>
      </c>
      <c r="AE286" s="21">
        <f t="shared" si="132"/>
        <v>3164.9643909726278</v>
      </c>
      <c r="AF286" s="173">
        <f t="shared" si="132"/>
        <v>20579</v>
      </c>
      <c r="AG286" s="173">
        <f t="shared" si="132"/>
        <v>12125</v>
      </c>
      <c r="AH286" s="173">
        <f t="shared" si="132"/>
        <v>22101</v>
      </c>
      <c r="AI286" s="173">
        <f t="shared" si="132"/>
        <v>1300</v>
      </c>
      <c r="AJ286" s="173">
        <f t="shared" si="132"/>
        <v>20801</v>
      </c>
      <c r="AK286" s="173">
        <f t="shared" si="132"/>
        <v>0</v>
      </c>
      <c r="AL286" s="173">
        <f t="shared" si="132"/>
        <v>27312</v>
      </c>
      <c r="AM286" s="173">
        <f t="shared" si="132"/>
        <v>0</v>
      </c>
      <c r="AN286" s="173">
        <f t="shared" si="132"/>
        <v>20527</v>
      </c>
      <c r="AO286" s="173">
        <f t="shared" si="132"/>
        <v>6784.6310193871168</v>
      </c>
      <c r="AP286" s="166"/>
      <c r="AQ286" s="166"/>
      <c r="AR286" s="3"/>
      <c r="AS286" s="3"/>
      <c r="AT286" s="3"/>
      <c r="AU286" s="3"/>
      <c r="AV286" s="3"/>
      <c r="AW286" s="3"/>
      <c r="AX286" s="3"/>
      <c r="AY286" s="3"/>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row>
    <row r="287" spans="1:247" ht="74.25" customHeight="1" x14ac:dyDescent="0.3">
      <c r="A287" s="16">
        <v>1</v>
      </c>
      <c r="B287" s="24" t="s">
        <v>525</v>
      </c>
      <c r="C287" s="25" t="s">
        <v>526</v>
      </c>
      <c r="D287" s="25" t="s">
        <v>527</v>
      </c>
      <c r="E287" s="25">
        <v>2023</v>
      </c>
      <c r="F287" s="25" t="s">
        <v>528</v>
      </c>
      <c r="G287" s="26">
        <f>I287+J287</f>
        <v>1100</v>
      </c>
      <c r="H287" s="126"/>
      <c r="I287" s="126">
        <v>900</v>
      </c>
      <c r="J287" s="126">
        <v>200</v>
      </c>
      <c r="K287" s="28">
        <v>1100</v>
      </c>
      <c r="L287" s="104">
        <f>M287+N287+O287</f>
        <v>720</v>
      </c>
      <c r="M287" s="28"/>
      <c r="N287" s="28">
        <v>720</v>
      </c>
      <c r="O287" s="28"/>
      <c r="P287" s="28">
        <f>K287-L287</f>
        <v>380</v>
      </c>
      <c r="Q287" s="28"/>
      <c r="R287" s="28">
        <f>(K287*(I287/G287))-N287</f>
        <v>180</v>
      </c>
      <c r="S287" s="28">
        <f>K287*(J287/G287)-O287</f>
        <v>200</v>
      </c>
      <c r="T287" s="26"/>
      <c r="U287" s="105">
        <f>V287+W287+X287+Y287+Z287+AA287</f>
        <v>80</v>
      </c>
      <c r="V287" s="29"/>
      <c r="W287" s="29"/>
      <c r="X287" s="29">
        <v>80</v>
      </c>
      <c r="Y287" s="29"/>
      <c r="Z287" s="29"/>
      <c r="AA287" s="29"/>
      <c r="AB287" s="105">
        <f>P287+T287-U287</f>
        <v>300</v>
      </c>
      <c r="AC287" s="29"/>
      <c r="AD287" s="29">
        <f>R287+(T287*(I287/G287))-(X287+Y287)</f>
        <v>100</v>
      </c>
      <c r="AE287" s="29">
        <f>S287+(T287*(J287/G287))-(Z287+AA287)</f>
        <v>200</v>
      </c>
      <c r="AF287" s="185"/>
      <c r="AG287" s="185">
        <v>1100</v>
      </c>
      <c r="AH287" s="183">
        <f>L287+U287</f>
        <v>800</v>
      </c>
      <c r="AI287" s="183">
        <f>M287+V287+W287</f>
        <v>0</v>
      </c>
      <c r="AJ287" s="183">
        <f>N287+X287+Y287</f>
        <v>800</v>
      </c>
      <c r="AK287" s="183">
        <f>O287+Z287+AA287</f>
        <v>0</v>
      </c>
      <c r="AL287" s="183">
        <f>AG287-AH287</f>
        <v>300</v>
      </c>
      <c r="AM287" s="183">
        <f>H287-AI287</f>
        <v>0</v>
      </c>
      <c r="AN287" s="183">
        <f>AG287*(I287/G287)-AJ287</f>
        <v>100</v>
      </c>
      <c r="AO287" s="183">
        <f>AG287*(J287/G287)-AK287</f>
        <v>200</v>
      </c>
      <c r="AP287" s="166"/>
      <c r="AQ287" s="166"/>
      <c r="AR287" s="3"/>
      <c r="AS287" s="3"/>
      <c r="AT287" s="3"/>
      <c r="AU287" s="3"/>
      <c r="AV287" s="3"/>
      <c r="AW287" s="3"/>
      <c r="AX287" s="3"/>
      <c r="AY287" s="3"/>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row>
    <row r="288" spans="1:247" ht="74.25" customHeight="1" x14ac:dyDescent="0.3">
      <c r="A288" s="16">
        <v>2</v>
      </c>
      <c r="B288" s="24" t="s">
        <v>529</v>
      </c>
      <c r="C288" s="25" t="s">
        <v>526</v>
      </c>
      <c r="D288" s="25">
        <v>2021</v>
      </c>
      <c r="E288" s="25">
        <v>2022</v>
      </c>
      <c r="F288" s="25" t="s">
        <v>530</v>
      </c>
      <c r="G288" s="26">
        <f>H288+I288+J288</f>
        <v>3198</v>
      </c>
      <c r="H288" s="126">
        <v>1300</v>
      </c>
      <c r="I288" s="126">
        <v>1500</v>
      </c>
      <c r="J288" s="126">
        <v>398</v>
      </c>
      <c r="K288" s="28">
        <v>3187</v>
      </c>
      <c r="L288" s="104">
        <f>M288+N288+O288</f>
        <v>2000</v>
      </c>
      <c r="M288" s="28">
        <v>1300</v>
      </c>
      <c r="N288" s="28">
        <v>700</v>
      </c>
      <c r="O288" s="28"/>
      <c r="P288" s="28">
        <f>K288-L288</f>
        <v>1187</v>
      </c>
      <c r="Q288" s="28"/>
      <c r="R288" s="28">
        <f>P288-S288</f>
        <v>790.36898061288309</v>
      </c>
      <c r="S288" s="28">
        <f>K288*(J288/G288)-O288</f>
        <v>396.63101938711691</v>
      </c>
      <c r="T288" s="26"/>
      <c r="U288" s="105">
        <f>V288+W288+X288+Y288+Z288+AA288</f>
        <v>158</v>
      </c>
      <c r="V288" s="29"/>
      <c r="W288" s="29"/>
      <c r="X288" s="29">
        <v>158</v>
      </c>
      <c r="Y288" s="29"/>
      <c r="Z288" s="29"/>
      <c r="AA288" s="29"/>
      <c r="AB288" s="105">
        <f>P288+T288-U288</f>
        <v>1029</v>
      </c>
      <c r="AC288" s="29"/>
      <c r="AD288" s="29">
        <f>R288+(T288*(I288/G288))-(X288+Y288)</f>
        <v>632.36898061288309</v>
      </c>
      <c r="AE288" s="29">
        <f>S288+(T288*(J288/G288))-(Z288+AA288)</f>
        <v>396.63101938711691</v>
      </c>
      <c r="AF288" s="185"/>
      <c r="AG288" s="185">
        <v>3187</v>
      </c>
      <c r="AH288" s="183">
        <f>L288+U288</f>
        <v>2158</v>
      </c>
      <c r="AI288" s="183">
        <f>M288+V288+W288</f>
        <v>1300</v>
      </c>
      <c r="AJ288" s="183">
        <f>N288+X288+Y288</f>
        <v>858</v>
      </c>
      <c r="AK288" s="183">
        <f>O288+Z288+AA288</f>
        <v>0</v>
      </c>
      <c r="AL288" s="183">
        <f>AG288-AH288</f>
        <v>1029</v>
      </c>
      <c r="AM288" s="183">
        <f>H288-AI288</f>
        <v>0</v>
      </c>
      <c r="AN288" s="183">
        <v>632</v>
      </c>
      <c r="AO288" s="183">
        <f>AG288*(J288/G288)-AK288</f>
        <v>396.63101938711691</v>
      </c>
      <c r="AP288" s="166"/>
      <c r="AQ288" s="166"/>
      <c r="AR288" s="3"/>
      <c r="AS288" s="3"/>
      <c r="AT288" s="3"/>
      <c r="AU288" s="3"/>
      <c r="AV288" s="3"/>
      <c r="AW288" s="3"/>
      <c r="AX288" s="3"/>
      <c r="AY288" s="3"/>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row>
    <row r="289" spans="1:247" ht="74.25" customHeight="1" x14ac:dyDescent="0.3">
      <c r="A289" s="16">
        <v>3</v>
      </c>
      <c r="B289" s="24" t="s">
        <v>531</v>
      </c>
      <c r="C289" s="25" t="s">
        <v>526</v>
      </c>
      <c r="D289" s="25">
        <v>2022</v>
      </c>
      <c r="E289" s="25">
        <v>2024</v>
      </c>
      <c r="F289" s="25" t="s">
        <v>532</v>
      </c>
      <c r="G289" s="26">
        <f>I289+J289</f>
        <v>4855</v>
      </c>
      <c r="H289" s="126"/>
      <c r="I289" s="126">
        <v>4500</v>
      </c>
      <c r="J289" s="126">
        <v>355</v>
      </c>
      <c r="K289" s="28">
        <v>1591</v>
      </c>
      <c r="L289" s="104">
        <f>M289+N289+O289</f>
        <v>1400</v>
      </c>
      <c r="M289" s="28"/>
      <c r="N289" s="28">
        <v>1400</v>
      </c>
      <c r="O289" s="28"/>
      <c r="P289" s="28">
        <f t="shared" ref="P289:P299" si="133">K289-L289</f>
        <v>191</v>
      </c>
      <c r="Q289" s="28"/>
      <c r="R289" s="28">
        <f t="shared" ref="R289:R301" si="134">(K289*(I289/G289))-N289</f>
        <v>74.665293511843629</v>
      </c>
      <c r="S289" s="28">
        <f>K289*(J289/G289)-O289</f>
        <v>116.33470648815653</v>
      </c>
      <c r="T289" s="26">
        <v>351</v>
      </c>
      <c r="U289" s="105">
        <f t="shared" ref="U289:U301" si="135">V289+W289+X289+Y289+Z289+AA289</f>
        <v>383</v>
      </c>
      <c r="V289" s="29"/>
      <c r="W289" s="29"/>
      <c r="X289" s="29">
        <v>75</v>
      </c>
      <c r="Y289" s="29">
        <v>308</v>
      </c>
      <c r="Z289" s="29"/>
      <c r="AA289" s="29"/>
      <c r="AB289" s="105">
        <f>P289+T289-U289</f>
        <v>159</v>
      </c>
      <c r="AC289" s="29"/>
      <c r="AD289" s="29">
        <f>R289+(T289*(I289/G289))-(X289+Y289)</f>
        <v>17.000000000000171</v>
      </c>
      <c r="AE289" s="29">
        <f t="shared" ref="AE289:AE301" si="136">S289+(T289*(J289/G289))-(Z289+AA289)</f>
        <v>142</v>
      </c>
      <c r="AF289" s="185">
        <v>1942</v>
      </c>
      <c r="AG289" s="185"/>
      <c r="AH289" s="183">
        <f t="shared" ref="AH289:AH301" si="137">L289+U289</f>
        <v>1783</v>
      </c>
      <c r="AI289" s="183">
        <f t="shared" ref="AI289:AI301" si="138">M289+V289+W289</f>
        <v>0</v>
      </c>
      <c r="AJ289" s="183">
        <f>N289+X289+Y289</f>
        <v>1783</v>
      </c>
      <c r="AK289" s="183">
        <f t="shared" ref="AK289:AK301" si="139">O289+Z289+AA289</f>
        <v>0</v>
      </c>
      <c r="AL289" s="183">
        <f>G289-AH289</f>
        <v>3072</v>
      </c>
      <c r="AM289" s="183">
        <f t="shared" ref="AM289:AO301" si="140">H289-AI289</f>
        <v>0</v>
      </c>
      <c r="AN289" s="183">
        <f>I289-AJ289</f>
        <v>2717</v>
      </c>
      <c r="AO289" s="183">
        <f t="shared" si="140"/>
        <v>355</v>
      </c>
      <c r="AP289" s="166"/>
      <c r="AQ289" s="166"/>
      <c r="AR289" s="3"/>
      <c r="AS289" s="3"/>
      <c r="AT289" s="3"/>
      <c r="AU289" s="3"/>
      <c r="AV289" s="3"/>
      <c r="AW289" s="3"/>
      <c r="AX289" s="3"/>
      <c r="AY289" s="3"/>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row>
    <row r="290" spans="1:247" ht="74.25" customHeight="1" x14ac:dyDescent="0.3">
      <c r="A290" s="16">
        <v>4</v>
      </c>
      <c r="B290" s="24" t="s">
        <v>533</v>
      </c>
      <c r="C290" s="25" t="s">
        <v>526</v>
      </c>
      <c r="D290" s="25">
        <v>2022</v>
      </c>
      <c r="E290" s="25">
        <v>2022</v>
      </c>
      <c r="F290" s="25">
        <v>977</v>
      </c>
      <c r="G290" s="26">
        <f>I290+J290</f>
        <v>2300</v>
      </c>
      <c r="H290" s="126"/>
      <c r="I290" s="126">
        <v>2000</v>
      </c>
      <c r="J290" s="126">
        <v>300</v>
      </c>
      <c r="K290" s="28">
        <v>1700</v>
      </c>
      <c r="L290" s="104">
        <f>N290+O290+M290</f>
        <v>780</v>
      </c>
      <c r="M290" s="28"/>
      <c r="N290" s="28">
        <v>780</v>
      </c>
      <c r="O290" s="28"/>
      <c r="P290" s="28">
        <f t="shared" si="133"/>
        <v>920</v>
      </c>
      <c r="Q290" s="28"/>
      <c r="R290" s="28">
        <f>(K290*(I290/G290))-N290</f>
        <v>698.26086956521726</v>
      </c>
      <c r="S290" s="28">
        <f t="shared" ref="S290:S301" si="141">K290*(J290/G290)-O290</f>
        <v>221.7391304347826</v>
      </c>
      <c r="T290" s="26"/>
      <c r="U290" s="105">
        <f t="shared" si="135"/>
        <v>225</v>
      </c>
      <c r="V290" s="29"/>
      <c r="W290" s="29"/>
      <c r="X290" s="29">
        <v>225</v>
      </c>
      <c r="Y290" s="29"/>
      <c r="Z290" s="29"/>
      <c r="AA290" s="29"/>
      <c r="AB290" s="105">
        <f t="shared" ref="AB290:AB301" si="142">P290+T290-U290</f>
        <v>695</v>
      </c>
      <c r="AC290" s="29"/>
      <c r="AD290" s="29">
        <f t="shared" ref="AD290:AD301" si="143">R290+(T290*(I290/G290))-(X290+Y290)</f>
        <v>473.26086956521726</v>
      </c>
      <c r="AE290" s="29">
        <f t="shared" si="136"/>
        <v>221.7391304347826</v>
      </c>
      <c r="AF290" s="185">
        <v>1700</v>
      </c>
      <c r="AG290" s="185"/>
      <c r="AH290" s="183">
        <f t="shared" si="137"/>
        <v>1005</v>
      </c>
      <c r="AI290" s="183">
        <f t="shared" si="138"/>
        <v>0</v>
      </c>
      <c r="AJ290" s="183">
        <f t="shared" ref="AJ290:AJ301" si="144">N290+X290+Y290</f>
        <v>1005</v>
      </c>
      <c r="AK290" s="183">
        <f t="shared" si="139"/>
        <v>0</v>
      </c>
      <c r="AL290" s="183">
        <f>G290-AH290</f>
        <v>1295</v>
      </c>
      <c r="AM290" s="183">
        <f t="shared" si="140"/>
        <v>0</v>
      </c>
      <c r="AN290" s="183">
        <f t="shared" si="140"/>
        <v>995</v>
      </c>
      <c r="AO290" s="183">
        <f t="shared" si="140"/>
        <v>300</v>
      </c>
      <c r="AP290" s="166"/>
      <c r="AQ290" s="166"/>
      <c r="AR290" s="3"/>
      <c r="AS290" s="3"/>
      <c r="AT290" s="3"/>
      <c r="AU290" s="3"/>
      <c r="AV290" s="3"/>
      <c r="AW290" s="3"/>
      <c r="AX290" s="3"/>
      <c r="AY290" s="3"/>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row>
    <row r="291" spans="1:247" ht="74.25" customHeight="1" x14ac:dyDescent="0.3">
      <c r="A291" s="16">
        <v>5</v>
      </c>
      <c r="B291" s="24" t="s">
        <v>534</v>
      </c>
      <c r="C291" s="25" t="s">
        <v>526</v>
      </c>
      <c r="D291" s="25">
        <v>2022</v>
      </c>
      <c r="E291" s="25">
        <v>2023</v>
      </c>
      <c r="F291" s="25" t="s">
        <v>535</v>
      </c>
      <c r="G291" s="26">
        <f>I291+J291</f>
        <v>5492</v>
      </c>
      <c r="H291" s="126"/>
      <c r="I291" s="126">
        <v>5000</v>
      </c>
      <c r="J291" s="126">
        <v>492</v>
      </c>
      <c r="K291" s="28">
        <v>4812</v>
      </c>
      <c r="L291" s="104">
        <f>N291</f>
        <v>1400</v>
      </c>
      <c r="M291" s="28"/>
      <c r="N291" s="28">
        <v>1400</v>
      </c>
      <c r="O291" s="28"/>
      <c r="P291" s="28">
        <f t="shared" si="133"/>
        <v>3412</v>
      </c>
      <c r="Q291" s="28"/>
      <c r="R291" s="28">
        <f t="shared" si="134"/>
        <v>2980.9176984705027</v>
      </c>
      <c r="S291" s="28">
        <f t="shared" si="141"/>
        <v>431.0823015294975</v>
      </c>
      <c r="T291" s="26"/>
      <c r="U291" s="105">
        <f t="shared" si="135"/>
        <v>735</v>
      </c>
      <c r="V291" s="29"/>
      <c r="W291" s="29"/>
      <c r="X291" s="29">
        <v>735</v>
      </c>
      <c r="Y291" s="29"/>
      <c r="Z291" s="29"/>
      <c r="AA291" s="29"/>
      <c r="AB291" s="105">
        <f t="shared" si="142"/>
        <v>2677</v>
      </c>
      <c r="AC291" s="29"/>
      <c r="AD291" s="29">
        <f t="shared" si="143"/>
        <v>2245.9176984705027</v>
      </c>
      <c r="AE291" s="29">
        <f t="shared" si="136"/>
        <v>431.0823015294975</v>
      </c>
      <c r="AF291" s="185">
        <v>4812</v>
      </c>
      <c r="AG291" s="185"/>
      <c r="AH291" s="183">
        <f t="shared" si="137"/>
        <v>2135</v>
      </c>
      <c r="AI291" s="183">
        <f t="shared" si="138"/>
        <v>0</v>
      </c>
      <c r="AJ291" s="183">
        <f t="shared" si="144"/>
        <v>2135</v>
      </c>
      <c r="AK291" s="183">
        <f t="shared" si="139"/>
        <v>0</v>
      </c>
      <c r="AL291" s="183">
        <f>G291-AH291</f>
        <v>3357</v>
      </c>
      <c r="AM291" s="183">
        <f>H291-AI291</f>
        <v>0</v>
      </c>
      <c r="AN291" s="183">
        <f t="shared" si="140"/>
        <v>2865</v>
      </c>
      <c r="AO291" s="183">
        <f t="shared" si="140"/>
        <v>492</v>
      </c>
      <c r="AP291" s="166"/>
      <c r="AQ291" s="166"/>
      <c r="AR291" s="3"/>
      <c r="AS291" s="3"/>
      <c r="AT291" s="3"/>
      <c r="AU291" s="3"/>
      <c r="AV291" s="3"/>
      <c r="AW291" s="3"/>
      <c r="AX291" s="3"/>
      <c r="AY291" s="3"/>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row>
    <row r="292" spans="1:247" ht="74.25" customHeight="1" x14ac:dyDescent="0.3">
      <c r="A292" s="16">
        <v>6</v>
      </c>
      <c r="B292" s="24" t="s">
        <v>536</v>
      </c>
      <c r="C292" s="25" t="s">
        <v>526</v>
      </c>
      <c r="D292" s="25">
        <v>2022</v>
      </c>
      <c r="E292" s="25">
        <v>2023</v>
      </c>
      <c r="F292" s="25" t="s">
        <v>537</v>
      </c>
      <c r="G292" s="26">
        <f>I292+J292</f>
        <v>3722</v>
      </c>
      <c r="H292" s="126"/>
      <c r="I292" s="126">
        <v>3000</v>
      </c>
      <c r="J292" s="126">
        <v>722</v>
      </c>
      <c r="K292" s="28">
        <v>1600</v>
      </c>
      <c r="L292" s="104">
        <f>N292</f>
        <v>900</v>
      </c>
      <c r="M292" s="28"/>
      <c r="N292" s="28">
        <v>900</v>
      </c>
      <c r="O292" s="28"/>
      <c r="P292" s="28">
        <f>K292-L292</f>
        <v>700</v>
      </c>
      <c r="Q292" s="28"/>
      <c r="R292" s="28">
        <f t="shared" si="134"/>
        <v>389.62923159591628</v>
      </c>
      <c r="S292" s="28">
        <f t="shared" si="141"/>
        <v>310.37076840408383</v>
      </c>
      <c r="T292" s="26"/>
      <c r="U292" s="105">
        <f t="shared" si="135"/>
        <v>338</v>
      </c>
      <c r="V292" s="29"/>
      <c r="W292" s="29"/>
      <c r="X292" s="29">
        <v>338</v>
      </c>
      <c r="Y292" s="29"/>
      <c r="Z292" s="29"/>
      <c r="AA292" s="29"/>
      <c r="AB292" s="105">
        <f t="shared" si="142"/>
        <v>362</v>
      </c>
      <c r="AC292" s="29"/>
      <c r="AD292" s="29">
        <f t="shared" si="143"/>
        <v>51.629231595916281</v>
      </c>
      <c r="AE292" s="29">
        <f t="shared" si="136"/>
        <v>310.37076840408383</v>
      </c>
      <c r="AF292" s="185">
        <f>K292</f>
        <v>1600</v>
      </c>
      <c r="AG292" s="185"/>
      <c r="AH292" s="183">
        <f t="shared" si="137"/>
        <v>1238</v>
      </c>
      <c r="AI292" s="183">
        <f t="shared" si="138"/>
        <v>0</v>
      </c>
      <c r="AJ292" s="183">
        <f t="shared" si="144"/>
        <v>1238</v>
      </c>
      <c r="AK292" s="183">
        <f t="shared" si="139"/>
        <v>0</v>
      </c>
      <c r="AL292" s="183">
        <f>G292-AH292</f>
        <v>2484</v>
      </c>
      <c r="AM292" s="183">
        <f>H292-AI292</f>
        <v>0</v>
      </c>
      <c r="AN292" s="183">
        <f t="shared" si="140"/>
        <v>1762</v>
      </c>
      <c r="AO292" s="183">
        <f t="shared" si="140"/>
        <v>722</v>
      </c>
      <c r="AP292" s="166"/>
      <c r="AQ292" s="166"/>
      <c r="AR292" s="3"/>
      <c r="AS292" s="3"/>
      <c r="AT292" s="3"/>
      <c r="AU292" s="3"/>
      <c r="AV292" s="3"/>
      <c r="AW292" s="3"/>
      <c r="AX292" s="3"/>
      <c r="AY292" s="3"/>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row>
    <row r="293" spans="1:247" ht="74.25" customHeight="1" x14ac:dyDescent="0.3">
      <c r="A293" s="16">
        <v>7</v>
      </c>
      <c r="B293" s="24" t="s">
        <v>538</v>
      </c>
      <c r="C293" s="25" t="s">
        <v>526</v>
      </c>
      <c r="D293" s="25">
        <v>2022</v>
      </c>
      <c r="E293" s="25">
        <v>2022</v>
      </c>
      <c r="F293" s="25" t="s">
        <v>539</v>
      </c>
      <c r="G293" s="26">
        <v>3000</v>
      </c>
      <c r="H293" s="126"/>
      <c r="I293" s="126">
        <v>3000</v>
      </c>
      <c r="J293" s="126"/>
      <c r="K293" s="28">
        <v>1800</v>
      </c>
      <c r="L293" s="104">
        <f t="shared" ref="L293:L299" si="145">N293</f>
        <v>1700</v>
      </c>
      <c r="M293" s="28"/>
      <c r="N293" s="28">
        <v>1700</v>
      </c>
      <c r="O293" s="28"/>
      <c r="P293" s="28">
        <f>K293-L293</f>
        <v>100</v>
      </c>
      <c r="Q293" s="28"/>
      <c r="R293" s="28">
        <f t="shared" si="134"/>
        <v>100</v>
      </c>
      <c r="S293" s="28">
        <f t="shared" si="141"/>
        <v>0</v>
      </c>
      <c r="T293" s="26">
        <v>1138</v>
      </c>
      <c r="U293" s="105">
        <f t="shared" si="135"/>
        <v>180</v>
      </c>
      <c r="V293" s="29"/>
      <c r="W293" s="29"/>
      <c r="X293" s="29">
        <v>180</v>
      </c>
      <c r="Y293" s="29"/>
      <c r="Z293" s="29"/>
      <c r="AA293" s="29"/>
      <c r="AB293" s="105">
        <f t="shared" si="142"/>
        <v>1058</v>
      </c>
      <c r="AC293" s="29"/>
      <c r="AD293" s="29">
        <f t="shared" si="143"/>
        <v>1058</v>
      </c>
      <c r="AE293" s="29">
        <f t="shared" si="136"/>
        <v>0</v>
      </c>
      <c r="AF293" s="185"/>
      <c r="AG293" s="185">
        <v>2938</v>
      </c>
      <c r="AH293" s="183">
        <f t="shared" si="137"/>
        <v>1880</v>
      </c>
      <c r="AI293" s="183">
        <f t="shared" si="138"/>
        <v>0</v>
      </c>
      <c r="AJ293" s="183">
        <f t="shared" si="144"/>
        <v>1880</v>
      </c>
      <c r="AK293" s="183">
        <f t="shared" si="139"/>
        <v>0</v>
      </c>
      <c r="AL293" s="183">
        <f t="shared" ref="AL293:AL301" si="146">AG293-AH293</f>
        <v>1058</v>
      </c>
      <c r="AM293" s="183">
        <f t="shared" si="140"/>
        <v>0</v>
      </c>
      <c r="AN293" s="183">
        <f t="shared" ref="AN293:AN301" si="147">AG293*(I293/G293)-AJ293</f>
        <v>1058</v>
      </c>
      <c r="AO293" s="183">
        <f t="shared" ref="AO293:AO301" si="148">AG293*(J293/G293)-AK293</f>
        <v>0</v>
      </c>
      <c r="AP293" s="166"/>
      <c r="AQ293" s="166"/>
      <c r="AR293" s="3"/>
      <c r="AS293" s="3"/>
      <c r="AT293" s="3"/>
      <c r="AU293" s="3"/>
      <c r="AV293" s="3"/>
      <c r="AW293" s="3"/>
      <c r="AX293" s="3"/>
      <c r="AY293" s="3"/>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row>
    <row r="294" spans="1:247" ht="74.25" customHeight="1" x14ac:dyDescent="0.3">
      <c r="A294" s="16">
        <v>8</v>
      </c>
      <c r="B294" s="24" t="s">
        <v>540</v>
      </c>
      <c r="C294" s="25" t="s">
        <v>526</v>
      </c>
      <c r="D294" s="25">
        <v>2023</v>
      </c>
      <c r="E294" s="25">
        <v>2024</v>
      </c>
      <c r="F294" s="25" t="s">
        <v>541</v>
      </c>
      <c r="G294" s="26">
        <f>I294+J294</f>
        <v>7500</v>
      </c>
      <c r="H294" s="126"/>
      <c r="I294" s="126">
        <v>5500</v>
      </c>
      <c r="J294" s="126">
        <v>2000</v>
      </c>
      <c r="K294" s="28">
        <v>2750</v>
      </c>
      <c r="L294" s="104">
        <f t="shared" si="145"/>
        <v>2000</v>
      </c>
      <c r="M294" s="28"/>
      <c r="N294" s="28">
        <v>2000</v>
      </c>
      <c r="O294" s="28"/>
      <c r="P294" s="28">
        <f t="shared" si="133"/>
        <v>750</v>
      </c>
      <c r="Q294" s="28"/>
      <c r="R294" s="28">
        <f t="shared" si="134"/>
        <v>16.666666666666515</v>
      </c>
      <c r="S294" s="28">
        <f t="shared" si="141"/>
        <v>733.33333333333337</v>
      </c>
      <c r="T294" s="26">
        <v>1222</v>
      </c>
      <c r="U294" s="105">
        <f t="shared" si="135"/>
        <v>2000</v>
      </c>
      <c r="V294" s="29"/>
      <c r="W294" s="29"/>
      <c r="X294" s="29">
        <v>17</v>
      </c>
      <c r="Y294" s="29">
        <v>1983</v>
      </c>
      <c r="Z294" s="29"/>
      <c r="AA294" s="29"/>
      <c r="AB294" s="105"/>
      <c r="AC294" s="29"/>
      <c r="AD294" s="29"/>
      <c r="AE294" s="29"/>
      <c r="AF294" s="185">
        <v>3972</v>
      </c>
      <c r="AG294" s="185"/>
      <c r="AH294" s="183">
        <f t="shared" si="137"/>
        <v>4000</v>
      </c>
      <c r="AI294" s="183">
        <f t="shared" si="138"/>
        <v>0</v>
      </c>
      <c r="AJ294" s="183">
        <f t="shared" si="144"/>
        <v>4000</v>
      </c>
      <c r="AK294" s="183">
        <f t="shared" si="139"/>
        <v>0</v>
      </c>
      <c r="AL294" s="183">
        <f>G294-AH294</f>
        <v>3500</v>
      </c>
      <c r="AM294" s="183">
        <f t="shared" si="140"/>
        <v>0</v>
      </c>
      <c r="AN294" s="183">
        <f t="shared" si="140"/>
        <v>1500</v>
      </c>
      <c r="AO294" s="183">
        <f t="shared" si="140"/>
        <v>2000</v>
      </c>
      <c r="AP294" s="166"/>
      <c r="AQ294" s="166"/>
      <c r="AR294" s="3"/>
      <c r="AS294" s="3"/>
      <c r="AT294" s="3"/>
      <c r="AU294" s="3"/>
      <c r="AV294" s="3"/>
      <c r="AW294" s="3"/>
      <c r="AX294" s="3"/>
      <c r="AY294" s="3"/>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row>
    <row r="295" spans="1:247" ht="74.25" customHeight="1" x14ac:dyDescent="0.3">
      <c r="A295" s="16">
        <v>9</v>
      </c>
      <c r="B295" s="24" t="s">
        <v>542</v>
      </c>
      <c r="C295" s="25" t="s">
        <v>526</v>
      </c>
      <c r="D295" s="25">
        <v>2023</v>
      </c>
      <c r="E295" s="25">
        <v>2024</v>
      </c>
      <c r="F295" s="25" t="s">
        <v>543</v>
      </c>
      <c r="G295" s="26">
        <v>2500</v>
      </c>
      <c r="H295" s="126"/>
      <c r="I295" s="126">
        <v>2000</v>
      </c>
      <c r="J295" s="126">
        <v>500</v>
      </c>
      <c r="K295" s="28">
        <v>156</v>
      </c>
      <c r="L295" s="104">
        <f t="shared" si="145"/>
        <v>700</v>
      </c>
      <c r="M295" s="28"/>
      <c r="N295" s="28">
        <v>700</v>
      </c>
      <c r="O295" s="28"/>
      <c r="P295" s="28"/>
      <c r="Q295" s="28"/>
      <c r="R295" s="28"/>
      <c r="S295" s="28"/>
      <c r="T295" s="26">
        <v>1700</v>
      </c>
      <c r="U295" s="105">
        <f t="shared" si="135"/>
        <v>700</v>
      </c>
      <c r="V295" s="29"/>
      <c r="W295" s="29"/>
      <c r="X295" s="29"/>
      <c r="Y295" s="29">
        <v>700</v>
      </c>
      <c r="Z295" s="29"/>
      <c r="AA295" s="29"/>
      <c r="AB295" s="105">
        <f>K295+T295-L295-U295</f>
        <v>456</v>
      </c>
      <c r="AC295" s="29"/>
      <c r="AD295" s="29">
        <f>R295+((T295+K295)*(I295/G295))-(X295+Y295+N295)</f>
        <v>84.800000000000182</v>
      </c>
      <c r="AE295" s="29">
        <f>AB295-AD295</f>
        <v>371.19999999999982</v>
      </c>
      <c r="AF295" s="185">
        <f>K295+T295</f>
        <v>1856</v>
      </c>
      <c r="AG295" s="185"/>
      <c r="AH295" s="183">
        <f t="shared" si="137"/>
        <v>1400</v>
      </c>
      <c r="AI295" s="183">
        <f t="shared" si="138"/>
        <v>0</v>
      </c>
      <c r="AJ295" s="183">
        <f t="shared" si="144"/>
        <v>1400</v>
      </c>
      <c r="AK295" s="183">
        <f t="shared" si="139"/>
        <v>0</v>
      </c>
      <c r="AL295" s="183">
        <f>G295-AH295</f>
        <v>1100</v>
      </c>
      <c r="AM295" s="183">
        <f>H295-AI295</f>
        <v>0</v>
      </c>
      <c r="AN295" s="183">
        <f t="shared" si="140"/>
        <v>600</v>
      </c>
      <c r="AO295" s="183">
        <f t="shared" si="140"/>
        <v>500</v>
      </c>
      <c r="AP295" s="166"/>
      <c r="AQ295" s="166"/>
      <c r="AR295" s="3"/>
      <c r="AS295" s="3"/>
      <c r="AT295" s="3"/>
      <c r="AU295" s="3"/>
      <c r="AV295" s="3"/>
      <c r="AW295" s="3"/>
      <c r="AX295" s="3"/>
      <c r="AY295" s="3"/>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row>
    <row r="296" spans="1:247" ht="74.25" customHeight="1" x14ac:dyDescent="0.3">
      <c r="A296" s="16">
        <v>10</v>
      </c>
      <c r="B296" s="24" t="s">
        <v>544</v>
      </c>
      <c r="C296" s="25" t="s">
        <v>526</v>
      </c>
      <c r="D296" s="25">
        <v>2023</v>
      </c>
      <c r="E296" s="25">
        <v>2024</v>
      </c>
      <c r="F296" s="25" t="s">
        <v>545</v>
      </c>
      <c r="G296" s="26">
        <f>I296+J296</f>
        <v>5000</v>
      </c>
      <c r="H296" s="126"/>
      <c r="I296" s="126">
        <v>4500</v>
      </c>
      <c r="J296" s="126">
        <v>500</v>
      </c>
      <c r="K296" s="28">
        <v>613</v>
      </c>
      <c r="L296" s="104">
        <f t="shared" si="145"/>
        <v>500</v>
      </c>
      <c r="M296" s="28"/>
      <c r="N296" s="28">
        <v>500</v>
      </c>
      <c r="O296" s="28"/>
      <c r="P296" s="28">
        <f t="shared" si="133"/>
        <v>113</v>
      </c>
      <c r="Q296" s="28"/>
      <c r="R296" s="28">
        <f t="shared" si="134"/>
        <v>51.700000000000045</v>
      </c>
      <c r="S296" s="28">
        <f t="shared" si="141"/>
        <v>61.300000000000004</v>
      </c>
      <c r="T296" s="26">
        <v>1100</v>
      </c>
      <c r="U296" s="105">
        <f t="shared" si="135"/>
        <v>100</v>
      </c>
      <c r="V296" s="29"/>
      <c r="W296" s="29"/>
      <c r="X296" s="29">
        <v>52</v>
      </c>
      <c r="Y296" s="29">
        <v>48</v>
      </c>
      <c r="Z296" s="29"/>
      <c r="AA296" s="29"/>
      <c r="AB296" s="105">
        <f t="shared" si="142"/>
        <v>1113</v>
      </c>
      <c r="AC296" s="29"/>
      <c r="AD296" s="29">
        <f t="shared" si="143"/>
        <v>941.7</v>
      </c>
      <c r="AE296" s="29">
        <f t="shared" si="136"/>
        <v>171.3</v>
      </c>
      <c r="AF296" s="185">
        <v>1713</v>
      </c>
      <c r="AG296" s="185"/>
      <c r="AH296" s="183">
        <f t="shared" si="137"/>
        <v>600</v>
      </c>
      <c r="AI296" s="183">
        <f t="shared" si="138"/>
        <v>0</v>
      </c>
      <c r="AJ296" s="183">
        <f t="shared" si="144"/>
        <v>600</v>
      </c>
      <c r="AK296" s="183">
        <f t="shared" si="139"/>
        <v>0</v>
      </c>
      <c r="AL296" s="183">
        <f>G296-AH296</f>
        <v>4400</v>
      </c>
      <c r="AM296" s="183">
        <f>H296-AI296</f>
        <v>0</v>
      </c>
      <c r="AN296" s="183">
        <f t="shared" si="140"/>
        <v>3900</v>
      </c>
      <c r="AO296" s="183">
        <f t="shared" si="140"/>
        <v>500</v>
      </c>
      <c r="AP296" s="166"/>
      <c r="AQ296" s="166"/>
      <c r="AR296" s="3"/>
      <c r="AS296" s="3"/>
      <c r="AT296" s="3"/>
      <c r="AU296" s="3"/>
      <c r="AV296" s="3"/>
      <c r="AW296" s="3"/>
      <c r="AX296" s="3"/>
      <c r="AY296" s="3"/>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c r="IB296" s="4"/>
      <c r="IC296" s="4"/>
      <c r="ID296" s="4"/>
      <c r="IE296" s="4"/>
      <c r="IF296" s="4"/>
      <c r="IG296" s="4"/>
      <c r="IH296" s="4"/>
      <c r="II296" s="4"/>
      <c r="IJ296" s="4"/>
      <c r="IK296" s="4"/>
      <c r="IL296" s="4"/>
      <c r="IM296" s="4"/>
    </row>
    <row r="297" spans="1:247" ht="74.25" customHeight="1" x14ac:dyDescent="0.3">
      <c r="A297" s="16">
        <v>11</v>
      </c>
      <c r="B297" s="24" t="s">
        <v>546</v>
      </c>
      <c r="C297" s="25" t="s">
        <v>526</v>
      </c>
      <c r="D297" s="25">
        <v>2023</v>
      </c>
      <c r="E297" s="25">
        <v>2024</v>
      </c>
      <c r="F297" s="25" t="s">
        <v>547</v>
      </c>
      <c r="G297" s="26">
        <v>2000</v>
      </c>
      <c r="H297" s="126"/>
      <c r="I297" s="126">
        <v>1500</v>
      </c>
      <c r="J297" s="126">
        <v>500</v>
      </c>
      <c r="K297" s="28">
        <v>709</v>
      </c>
      <c r="L297" s="104">
        <f t="shared" si="145"/>
        <v>500</v>
      </c>
      <c r="M297" s="28"/>
      <c r="N297" s="28">
        <v>500</v>
      </c>
      <c r="O297" s="28"/>
      <c r="P297" s="28">
        <f t="shared" si="133"/>
        <v>209</v>
      </c>
      <c r="Q297" s="28"/>
      <c r="R297" s="28">
        <f t="shared" si="134"/>
        <v>31.75</v>
      </c>
      <c r="S297" s="28">
        <f t="shared" si="141"/>
        <v>177.25</v>
      </c>
      <c r="T297" s="26">
        <v>700</v>
      </c>
      <c r="U297" s="105">
        <f t="shared" si="135"/>
        <v>50</v>
      </c>
      <c r="V297" s="29"/>
      <c r="W297" s="29"/>
      <c r="X297" s="29">
        <v>32</v>
      </c>
      <c r="Y297" s="29">
        <v>18</v>
      </c>
      <c r="Z297" s="29"/>
      <c r="AA297" s="29"/>
      <c r="AB297" s="105">
        <f t="shared" si="142"/>
        <v>859</v>
      </c>
      <c r="AC297" s="29"/>
      <c r="AD297" s="29">
        <f t="shared" si="143"/>
        <v>506.75</v>
      </c>
      <c r="AE297" s="29">
        <f t="shared" si="136"/>
        <v>352.25</v>
      </c>
      <c r="AF297" s="185">
        <v>1409</v>
      </c>
      <c r="AG297" s="185"/>
      <c r="AH297" s="183">
        <f t="shared" si="137"/>
        <v>550</v>
      </c>
      <c r="AI297" s="183">
        <f t="shared" si="138"/>
        <v>0</v>
      </c>
      <c r="AJ297" s="183">
        <f t="shared" si="144"/>
        <v>550</v>
      </c>
      <c r="AK297" s="183">
        <f t="shared" si="139"/>
        <v>0</v>
      </c>
      <c r="AL297" s="183">
        <f>G297-AH297</f>
        <v>1450</v>
      </c>
      <c r="AM297" s="183">
        <f>H297-AI297</f>
        <v>0</v>
      </c>
      <c r="AN297" s="183">
        <f t="shared" si="140"/>
        <v>950</v>
      </c>
      <c r="AO297" s="183">
        <f t="shared" si="140"/>
        <v>500</v>
      </c>
      <c r="AP297" s="166"/>
      <c r="AQ297" s="166"/>
      <c r="AR297" s="3"/>
      <c r="AS297" s="3"/>
      <c r="AT297" s="3"/>
      <c r="AU297" s="3"/>
      <c r="AV297" s="3"/>
      <c r="AW297" s="3"/>
      <c r="AX297" s="3"/>
      <c r="AY297" s="3"/>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row>
    <row r="298" spans="1:247" ht="74.25" customHeight="1" x14ac:dyDescent="0.3">
      <c r="A298" s="16">
        <v>12</v>
      </c>
      <c r="B298" s="24" t="s">
        <v>548</v>
      </c>
      <c r="C298" s="25" t="s">
        <v>526</v>
      </c>
      <c r="D298" s="25">
        <v>2023</v>
      </c>
      <c r="E298" s="25">
        <v>2024</v>
      </c>
      <c r="F298" s="25" t="s">
        <v>549</v>
      </c>
      <c r="G298" s="26">
        <v>3919</v>
      </c>
      <c r="H298" s="126"/>
      <c r="I298" s="126">
        <v>3500</v>
      </c>
      <c r="J298" s="126">
        <f>G298-I298</f>
        <v>419</v>
      </c>
      <c r="K298" s="28">
        <v>1575</v>
      </c>
      <c r="L298" s="104">
        <f t="shared" si="145"/>
        <v>500</v>
      </c>
      <c r="M298" s="28"/>
      <c r="N298" s="28">
        <v>500</v>
      </c>
      <c r="O298" s="28"/>
      <c r="P298" s="28">
        <f t="shared" si="133"/>
        <v>1075</v>
      </c>
      <c r="Q298" s="28"/>
      <c r="R298" s="28">
        <f t="shared" si="134"/>
        <v>906.6088287828527</v>
      </c>
      <c r="S298" s="28">
        <f t="shared" si="141"/>
        <v>168.39117121714725</v>
      </c>
      <c r="T298" s="26"/>
      <c r="U298" s="105">
        <f t="shared" si="135"/>
        <v>50</v>
      </c>
      <c r="V298" s="29"/>
      <c r="W298" s="29"/>
      <c r="X298" s="29">
        <v>50</v>
      </c>
      <c r="Y298" s="29"/>
      <c r="Z298" s="29"/>
      <c r="AA298" s="29"/>
      <c r="AB298" s="105">
        <f t="shared" si="142"/>
        <v>1025</v>
      </c>
      <c r="AC298" s="29"/>
      <c r="AD298" s="29">
        <f t="shared" si="143"/>
        <v>856.6088287828527</v>
      </c>
      <c r="AE298" s="29">
        <f t="shared" si="136"/>
        <v>168.39117121714725</v>
      </c>
      <c r="AF298" s="185">
        <v>1575</v>
      </c>
      <c r="AG298" s="185"/>
      <c r="AH298" s="183">
        <f t="shared" si="137"/>
        <v>550</v>
      </c>
      <c r="AI298" s="183">
        <f t="shared" si="138"/>
        <v>0</v>
      </c>
      <c r="AJ298" s="183">
        <f t="shared" si="144"/>
        <v>550</v>
      </c>
      <c r="AK298" s="183">
        <f t="shared" si="139"/>
        <v>0</v>
      </c>
      <c r="AL298" s="183">
        <f>G298-AH298</f>
        <v>3369</v>
      </c>
      <c r="AM298" s="183">
        <f>H298-AI298</f>
        <v>0</v>
      </c>
      <c r="AN298" s="183">
        <f t="shared" si="140"/>
        <v>2950</v>
      </c>
      <c r="AO298" s="183">
        <f t="shared" si="140"/>
        <v>419</v>
      </c>
      <c r="AP298" s="166"/>
      <c r="AQ298" s="166"/>
      <c r="AR298" s="3"/>
      <c r="AS298" s="3"/>
      <c r="AT298" s="3"/>
      <c r="AU298" s="3"/>
      <c r="AV298" s="3"/>
      <c r="AW298" s="3"/>
      <c r="AX298" s="3"/>
      <c r="AY298" s="3"/>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c r="IB298" s="4"/>
      <c r="IC298" s="4"/>
      <c r="ID298" s="4"/>
      <c r="IE298" s="4"/>
      <c r="IF298" s="4"/>
      <c r="IG298" s="4"/>
      <c r="IH298" s="4"/>
      <c r="II298" s="4"/>
      <c r="IJ298" s="4"/>
      <c r="IK298" s="4"/>
      <c r="IL298" s="4"/>
      <c r="IM298" s="4"/>
    </row>
    <row r="299" spans="1:247" s="10" customFormat="1" ht="74.25" customHeight="1" x14ac:dyDescent="0.3">
      <c r="A299" s="16">
        <v>13</v>
      </c>
      <c r="B299" s="24" t="s">
        <v>550</v>
      </c>
      <c r="C299" s="25" t="s">
        <v>526</v>
      </c>
      <c r="D299" s="25">
        <v>2022</v>
      </c>
      <c r="E299" s="25">
        <v>2023</v>
      </c>
      <c r="F299" s="25" t="s">
        <v>551</v>
      </c>
      <c r="G299" s="26">
        <v>4900</v>
      </c>
      <c r="H299" s="126"/>
      <c r="I299" s="126">
        <v>4500</v>
      </c>
      <c r="J299" s="126">
        <v>400</v>
      </c>
      <c r="K299" s="28">
        <v>4900</v>
      </c>
      <c r="L299" s="104">
        <f t="shared" si="145"/>
        <v>4002</v>
      </c>
      <c r="M299" s="28"/>
      <c r="N299" s="28">
        <v>4002</v>
      </c>
      <c r="O299" s="28"/>
      <c r="P299" s="28">
        <f t="shared" si="133"/>
        <v>898</v>
      </c>
      <c r="Q299" s="28"/>
      <c r="R299" s="28">
        <f t="shared" si="134"/>
        <v>498</v>
      </c>
      <c r="S299" s="28">
        <f t="shared" si="141"/>
        <v>399.99999999999994</v>
      </c>
      <c r="T299" s="26"/>
      <c r="U299" s="105">
        <f t="shared" si="135"/>
        <v>0</v>
      </c>
      <c r="V299" s="34"/>
      <c r="W299" s="34"/>
      <c r="X299" s="34"/>
      <c r="Y299" s="34"/>
      <c r="Z299" s="34"/>
      <c r="AA299" s="34"/>
      <c r="AB299" s="105">
        <f t="shared" si="142"/>
        <v>898</v>
      </c>
      <c r="AC299" s="34"/>
      <c r="AD299" s="34">
        <f t="shared" si="143"/>
        <v>498</v>
      </c>
      <c r="AE299" s="34">
        <f t="shared" si="136"/>
        <v>399.99999999999994</v>
      </c>
      <c r="AF299" s="185"/>
      <c r="AG299" s="185">
        <v>4900</v>
      </c>
      <c r="AH299" s="183">
        <f t="shared" si="137"/>
        <v>4002</v>
      </c>
      <c r="AI299" s="183">
        <f t="shared" si="138"/>
        <v>0</v>
      </c>
      <c r="AJ299" s="183">
        <f t="shared" si="144"/>
        <v>4002</v>
      </c>
      <c r="AK299" s="183">
        <f t="shared" si="139"/>
        <v>0</v>
      </c>
      <c r="AL299" s="183">
        <f t="shared" si="146"/>
        <v>898</v>
      </c>
      <c r="AM299" s="183">
        <f t="shared" si="140"/>
        <v>0</v>
      </c>
      <c r="AN299" s="183">
        <f>AG299*(I299/G299)-AJ299</f>
        <v>498</v>
      </c>
      <c r="AO299" s="183">
        <f t="shared" si="148"/>
        <v>399.99999999999994</v>
      </c>
      <c r="AP299" s="166"/>
      <c r="AQ299" s="166"/>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row>
    <row r="300" spans="1:247" ht="39.6" customHeight="1" x14ac:dyDescent="0.3">
      <c r="A300" s="23" t="s">
        <v>71</v>
      </c>
      <c r="B300" s="133" t="s">
        <v>353</v>
      </c>
      <c r="C300" s="25"/>
      <c r="D300" s="129"/>
      <c r="E300" s="129"/>
      <c r="F300" s="134"/>
      <c r="G300" s="21">
        <f>G301</f>
        <v>450</v>
      </c>
      <c r="H300" s="21">
        <f t="shared" ref="H300:AO300" si="149">H301</f>
        <v>300</v>
      </c>
      <c r="I300" s="21">
        <f t="shared" si="149"/>
        <v>100</v>
      </c>
      <c r="J300" s="21">
        <f t="shared" si="149"/>
        <v>50</v>
      </c>
      <c r="K300" s="21">
        <f t="shared" si="149"/>
        <v>450</v>
      </c>
      <c r="L300" s="21">
        <f t="shared" si="149"/>
        <v>250</v>
      </c>
      <c r="M300" s="21">
        <f t="shared" si="149"/>
        <v>250</v>
      </c>
      <c r="N300" s="21">
        <f t="shared" si="149"/>
        <v>0</v>
      </c>
      <c r="O300" s="21">
        <f t="shared" si="149"/>
        <v>0</v>
      </c>
      <c r="P300" s="21">
        <f t="shared" si="149"/>
        <v>200</v>
      </c>
      <c r="Q300" s="21">
        <f t="shared" si="149"/>
        <v>50</v>
      </c>
      <c r="R300" s="21">
        <f t="shared" si="149"/>
        <v>100</v>
      </c>
      <c r="S300" s="21">
        <f t="shared" si="149"/>
        <v>50</v>
      </c>
      <c r="T300" s="21">
        <f t="shared" si="149"/>
        <v>0</v>
      </c>
      <c r="U300" s="21">
        <f t="shared" si="149"/>
        <v>50</v>
      </c>
      <c r="V300" s="21">
        <f t="shared" si="149"/>
        <v>50</v>
      </c>
      <c r="W300" s="21">
        <f t="shared" si="149"/>
        <v>0</v>
      </c>
      <c r="X300" s="21">
        <f t="shared" si="149"/>
        <v>0</v>
      </c>
      <c r="Y300" s="21">
        <f t="shared" si="149"/>
        <v>0</v>
      </c>
      <c r="Z300" s="21">
        <f t="shared" si="149"/>
        <v>0</v>
      </c>
      <c r="AA300" s="21">
        <f t="shared" si="149"/>
        <v>0</v>
      </c>
      <c r="AB300" s="21">
        <f t="shared" si="149"/>
        <v>150</v>
      </c>
      <c r="AC300" s="21">
        <f t="shared" si="149"/>
        <v>0</v>
      </c>
      <c r="AD300" s="21">
        <f t="shared" si="149"/>
        <v>100</v>
      </c>
      <c r="AE300" s="21">
        <f t="shared" si="149"/>
        <v>50</v>
      </c>
      <c r="AF300" s="173">
        <f t="shared" si="149"/>
        <v>0</v>
      </c>
      <c r="AG300" s="173">
        <f t="shared" si="149"/>
        <v>450</v>
      </c>
      <c r="AH300" s="173">
        <f t="shared" si="149"/>
        <v>300</v>
      </c>
      <c r="AI300" s="173">
        <f t="shared" si="149"/>
        <v>300</v>
      </c>
      <c r="AJ300" s="173">
        <f t="shared" si="149"/>
        <v>0</v>
      </c>
      <c r="AK300" s="173">
        <f t="shared" si="149"/>
        <v>0</v>
      </c>
      <c r="AL300" s="173">
        <f t="shared" si="149"/>
        <v>150</v>
      </c>
      <c r="AM300" s="173">
        <f t="shared" si="149"/>
        <v>0</v>
      </c>
      <c r="AN300" s="173">
        <f t="shared" si="149"/>
        <v>100</v>
      </c>
      <c r="AO300" s="173">
        <f t="shared" si="149"/>
        <v>50</v>
      </c>
      <c r="AP300" s="166"/>
      <c r="AQ300" s="166"/>
      <c r="AR300" s="3"/>
      <c r="AS300" s="3"/>
      <c r="AT300" s="3"/>
      <c r="AU300" s="3"/>
      <c r="AV300" s="3"/>
      <c r="AW300" s="3"/>
      <c r="AX300" s="3"/>
      <c r="AY300" s="3"/>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c r="IB300" s="4"/>
      <c r="IC300" s="4"/>
      <c r="ID300" s="4"/>
      <c r="IE300" s="4"/>
      <c r="IF300" s="4"/>
      <c r="IG300" s="4"/>
      <c r="IH300" s="4"/>
      <c r="II300" s="4"/>
      <c r="IJ300" s="4"/>
      <c r="IK300" s="4"/>
      <c r="IL300" s="4"/>
      <c r="IM300" s="4"/>
    </row>
    <row r="301" spans="1:247" ht="74.25" customHeight="1" x14ac:dyDescent="0.3">
      <c r="A301" s="16">
        <v>1</v>
      </c>
      <c r="B301" s="24" t="s">
        <v>552</v>
      </c>
      <c r="C301" s="25" t="s">
        <v>526</v>
      </c>
      <c r="D301" s="25">
        <v>2023</v>
      </c>
      <c r="E301" s="25">
        <v>2023</v>
      </c>
      <c r="F301" s="25" t="s">
        <v>553</v>
      </c>
      <c r="G301" s="26">
        <f>H301+I301+J301</f>
        <v>450</v>
      </c>
      <c r="H301" s="126">
        <v>300</v>
      </c>
      <c r="I301" s="126">
        <v>100</v>
      </c>
      <c r="J301" s="126">
        <v>50</v>
      </c>
      <c r="K301" s="28">
        <v>450</v>
      </c>
      <c r="L301" s="104">
        <f>M301</f>
        <v>250</v>
      </c>
      <c r="M301" s="28">
        <v>250</v>
      </c>
      <c r="N301" s="28"/>
      <c r="O301" s="28"/>
      <c r="P301" s="28">
        <f>K301-L301</f>
        <v>200</v>
      </c>
      <c r="Q301" s="28">
        <f>H301-M301</f>
        <v>50</v>
      </c>
      <c r="R301" s="28">
        <f t="shared" si="134"/>
        <v>100</v>
      </c>
      <c r="S301" s="28">
        <f t="shared" si="141"/>
        <v>50</v>
      </c>
      <c r="T301" s="26"/>
      <c r="U301" s="105">
        <f t="shared" si="135"/>
        <v>50</v>
      </c>
      <c r="V301" s="29">
        <v>50</v>
      </c>
      <c r="W301" s="29"/>
      <c r="X301" s="29"/>
      <c r="Y301" s="29"/>
      <c r="Z301" s="29"/>
      <c r="AA301" s="29"/>
      <c r="AB301" s="105">
        <f t="shared" si="142"/>
        <v>150</v>
      </c>
      <c r="AC301" s="29"/>
      <c r="AD301" s="29">
        <f t="shared" si="143"/>
        <v>100</v>
      </c>
      <c r="AE301" s="29">
        <f t="shared" si="136"/>
        <v>50</v>
      </c>
      <c r="AF301" s="185"/>
      <c r="AG301" s="185">
        <v>450</v>
      </c>
      <c r="AH301" s="183">
        <f t="shared" si="137"/>
        <v>300</v>
      </c>
      <c r="AI301" s="183">
        <f t="shared" si="138"/>
        <v>300</v>
      </c>
      <c r="AJ301" s="183">
        <f t="shared" si="144"/>
        <v>0</v>
      </c>
      <c r="AK301" s="183">
        <f t="shared" si="139"/>
        <v>0</v>
      </c>
      <c r="AL301" s="183">
        <f t="shared" si="146"/>
        <v>150</v>
      </c>
      <c r="AM301" s="183">
        <f t="shared" si="140"/>
        <v>0</v>
      </c>
      <c r="AN301" s="183">
        <f t="shared" si="147"/>
        <v>100</v>
      </c>
      <c r="AO301" s="183">
        <f t="shared" si="148"/>
        <v>50</v>
      </c>
      <c r="AP301" s="166"/>
      <c r="AQ301" s="166"/>
      <c r="AR301" s="3"/>
      <c r="AS301" s="3"/>
      <c r="AT301" s="3"/>
      <c r="AU301" s="3"/>
      <c r="AV301" s="3"/>
      <c r="AW301" s="3"/>
      <c r="AX301" s="3"/>
      <c r="AY301" s="3"/>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c r="IB301" s="4"/>
      <c r="IC301" s="4"/>
      <c r="ID301" s="4"/>
      <c r="IE301" s="4"/>
      <c r="IF301" s="4"/>
      <c r="IG301" s="4"/>
      <c r="IH301" s="4"/>
      <c r="II301" s="4"/>
      <c r="IJ301" s="4"/>
      <c r="IK301" s="4"/>
      <c r="IL301" s="4"/>
      <c r="IM301" s="4"/>
    </row>
    <row r="302" spans="1:247" ht="21" customHeight="1" x14ac:dyDescent="0.3">
      <c r="A302" s="16">
        <v>13</v>
      </c>
      <c r="B302" s="20" t="s">
        <v>554</v>
      </c>
      <c r="C302" s="20"/>
      <c r="D302" s="20"/>
      <c r="E302" s="20"/>
      <c r="F302" s="20"/>
      <c r="G302" s="21">
        <f>G303+G318</f>
        <v>55177.428</v>
      </c>
      <c r="H302" s="21">
        <f t="shared" ref="H302:AO302" si="150">H303+H318</f>
        <v>5267</v>
      </c>
      <c r="I302" s="21">
        <f t="shared" si="150"/>
        <v>44388</v>
      </c>
      <c r="J302" s="21">
        <f t="shared" si="150"/>
        <v>5522.4280000000008</v>
      </c>
      <c r="K302" s="21">
        <f t="shared" si="150"/>
        <v>34456</v>
      </c>
      <c r="L302" s="21">
        <f t="shared" si="150"/>
        <v>16794</v>
      </c>
      <c r="M302" s="21">
        <f t="shared" si="150"/>
        <v>4074</v>
      </c>
      <c r="N302" s="21">
        <f t="shared" si="150"/>
        <v>12680</v>
      </c>
      <c r="O302" s="21">
        <f t="shared" si="150"/>
        <v>40</v>
      </c>
      <c r="P302" s="21">
        <f t="shared" si="150"/>
        <v>20362</v>
      </c>
      <c r="Q302" s="21">
        <f t="shared" si="150"/>
        <v>1093</v>
      </c>
      <c r="R302" s="21">
        <f t="shared" si="150"/>
        <v>16296</v>
      </c>
      <c r="S302" s="21">
        <f t="shared" si="150"/>
        <v>2973.163</v>
      </c>
      <c r="T302" s="21">
        <f t="shared" si="150"/>
        <v>12071</v>
      </c>
      <c r="U302" s="21">
        <f t="shared" si="150"/>
        <v>7216</v>
      </c>
      <c r="V302" s="21">
        <f t="shared" si="150"/>
        <v>618</v>
      </c>
      <c r="W302" s="21">
        <f t="shared" si="150"/>
        <v>100</v>
      </c>
      <c r="X302" s="21">
        <f t="shared" si="150"/>
        <v>3098</v>
      </c>
      <c r="Y302" s="21">
        <f t="shared" si="150"/>
        <v>3400</v>
      </c>
      <c r="Z302" s="21">
        <f t="shared" si="150"/>
        <v>0</v>
      </c>
      <c r="AA302" s="21">
        <f t="shared" si="150"/>
        <v>0</v>
      </c>
      <c r="AB302" s="21">
        <f t="shared" si="150"/>
        <v>22289</v>
      </c>
      <c r="AC302" s="21">
        <f t="shared" si="150"/>
        <v>475</v>
      </c>
      <c r="AD302" s="21">
        <f t="shared" si="150"/>
        <v>17797.03</v>
      </c>
      <c r="AE302" s="21">
        <f t="shared" si="150"/>
        <v>4016.9700000000003</v>
      </c>
      <c r="AF302" s="173">
        <f t="shared" si="150"/>
        <v>11389</v>
      </c>
      <c r="AG302" s="173">
        <f t="shared" si="150"/>
        <v>35138</v>
      </c>
      <c r="AH302" s="173">
        <f t="shared" si="150"/>
        <v>24010</v>
      </c>
      <c r="AI302" s="173">
        <f t="shared" si="150"/>
        <v>4792</v>
      </c>
      <c r="AJ302" s="173">
        <f t="shared" si="150"/>
        <v>19178</v>
      </c>
      <c r="AK302" s="173">
        <f t="shared" si="150"/>
        <v>40</v>
      </c>
      <c r="AL302" s="173">
        <f t="shared" si="150"/>
        <v>31014</v>
      </c>
      <c r="AM302" s="173">
        <f t="shared" si="150"/>
        <v>475</v>
      </c>
      <c r="AN302" s="173">
        <f t="shared" si="150"/>
        <v>25098</v>
      </c>
      <c r="AO302" s="173">
        <f t="shared" si="150"/>
        <v>5441</v>
      </c>
      <c r="AP302" s="166"/>
      <c r="AQ302" s="166"/>
      <c r="AR302" s="3"/>
      <c r="AS302" s="3"/>
      <c r="AT302" s="3"/>
      <c r="AU302" s="3"/>
      <c r="AV302" s="3"/>
      <c r="AW302" s="3"/>
      <c r="AX302" s="3"/>
      <c r="AY302" s="3"/>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c r="IB302" s="4"/>
      <c r="IC302" s="4"/>
      <c r="ID302" s="4"/>
      <c r="IE302" s="4"/>
      <c r="IF302" s="4"/>
      <c r="IG302" s="4"/>
      <c r="IH302" s="4"/>
      <c r="II302" s="4"/>
      <c r="IJ302" s="4"/>
      <c r="IK302" s="4"/>
      <c r="IL302" s="4"/>
      <c r="IM302" s="4"/>
    </row>
    <row r="303" spans="1:247" ht="25.5" customHeight="1" x14ac:dyDescent="0.3">
      <c r="A303" s="16" t="s">
        <v>42</v>
      </c>
      <c r="B303" s="74" t="s">
        <v>43</v>
      </c>
      <c r="C303" s="107"/>
      <c r="D303" s="20"/>
      <c r="E303" s="20"/>
      <c r="F303" s="61"/>
      <c r="G303" s="21">
        <f>SUM(G304:G317)</f>
        <v>54495.358999999997</v>
      </c>
      <c r="H303" s="21">
        <f t="shared" ref="H303:AO303" si="151">SUM(H304:H317)</f>
        <v>4967</v>
      </c>
      <c r="I303" s="21">
        <f t="shared" si="151"/>
        <v>44088</v>
      </c>
      <c r="J303" s="21">
        <f t="shared" si="151"/>
        <v>5440.3590000000004</v>
      </c>
      <c r="K303" s="21">
        <f t="shared" si="151"/>
        <v>34456</v>
      </c>
      <c r="L303" s="21">
        <f t="shared" si="151"/>
        <v>16594</v>
      </c>
      <c r="M303" s="21">
        <f t="shared" si="151"/>
        <v>3874</v>
      </c>
      <c r="N303" s="21">
        <f t="shared" si="151"/>
        <v>12680</v>
      </c>
      <c r="O303" s="21">
        <f t="shared" si="151"/>
        <v>40</v>
      </c>
      <c r="P303" s="21">
        <f t="shared" si="151"/>
        <v>20362</v>
      </c>
      <c r="Q303" s="21">
        <f t="shared" si="151"/>
        <v>1093</v>
      </c>
      <c r="R303" s="21">
        <f t="shared" si="151"/>
        <v>16296</v>
      </c>
      <c r="S303" s="21">
        <f t="shared" si="151"/>
        <v>2973.163</v>
      </c>
      <c r="T303" s="21">
        <f t="shared" si="151"/>
        <v>11389</v>
      </c>
      <c r="U303" s="21">
        <f t="shared" si="151"/>
        <v>7116</v>
      </c>
      <c r="V303" s="21">
        <f t="shared" si="151"/>
        <v>618</v>
      </c>
      <c r="W303" s="21">
        <f t="shared" si="151"/>
        <v>0</v>
      </c>
      <c r="X303" s="21">
        <f t="shared" si="151"/>
        <v>3098</v>
      </c>
      <c r="Y303" s="21">
        <f t="shared" si="151"/>
        <v>3400</v>
      </c>
      <c r="Z303" s="21">
        <f t="shared" si="151"/>
        <v>0</v>
      </c>
      <c r="AA303" s="21">
        <f t="shared" si="151"/>
        <v>0</v>
      </c>
      <c r="AB303" s="21">
        <f t="shared" si="151"/>
        <v>21907</v>
      </c>
      <c r="AC303" s="21">
        <f t="shared" si="151"/>
        <v>475</v>
      </c>
      <c r="AD303" s="21">
        <f t="shared" si="151"/>
        <v>17497.03</v>
      </c>
      <c r="AE303" s="21">
        <f t="shared" si="151"/>
        <v>3934.9700000000003</v>
      </c>
      <c r="AF303" s="173">
        <f t="shared" si="151"/>
        <v>11389</v>
      </c>
      <c r="AG303" s="173">
        <f t="shared" si="151"/>
        <v>34456</v>
      </c>
      <c r="AH303" s="173">
        <f t="shared" si="151"/>
        <v>23710</v>
      </c>
      <c r="AI303" s="173">
        <f t="shared" si="151"/>
        <v>4492</v>
      </c>
      <c r="AJ303" s="173">
        <f t="shared" si="151"/>
        <v>19178</v>
      </c>
      <c r="AK303" s="173">
        <f t="shared" si="151"/>
        <v>40</v>
      </c>
      <c r="AL303" s="173">
        <f t="shared" si="151"/>
        <v>30632</v>
      </c>
      <c r="AM303" s="173">
        <f t="shared" si="151"/>
        <v>475</v>
      </c>
      <c r="AN303" s="173">
        <f t="shared" si="151"/>
        <v>24798</v>
      </c>
      <c r="AO303" s="173">
        <f t="shared" si="151"/>
        <v>5359</v>
      </c>
      <c r="AP303" s="166"/>
      <c r="AQ303" s="166"/>
      <c r="AR303" s="3"/>
      <c r="AS303" s="3"/>
      <c r="AT303" s="3"/>
      <c r="AU303" s="3"/>
      <c r="AV303" s="3"/>
      <c r="AW303" s="3"/>
      <c r="AX303" s="3"/>
      <c r="AY303" s="3"/>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c r="IB303" s="4"/>
      <c r="IC303" s="4"/>
      <c r="ID303" s="4"/>
      <c r="IE303" s="4"/>
      <c r="IF303" s="4"/>
      <c r="IG303" s="4"/>
      <c r="IH303" s="4"/>
      <c r="II303" s="4"/>
      <c r="IJ303" s="4"/>
      <c r="IK303" s="4"/>
      <c r="IL303" s="4"/>
      <c r="IM303" s="4"/>
    </row>
    <row r="304" spans="1:247" ht="39" customHeight="1" x14ac:dyDescent="0.3">
      <c r="A304" s="89">
        <v>1</v>
      </c>
      <c r="B304" s="123" t="s">
        <v>555</v>
      </c>
      <c r="C304" s="91" t="s">
        <v>556</v>
      </c>
      <c r="D304" s="145">
        <v>2021</v>
      </c>
      <c r="E304" s="146">
        <v>2022</v>
      </c>
      <c r="F304" s="147" t="s">
        <v>557</v>
      </c>
      <c r="G304" s="97">
        <f t="shared" ref="G304:G316" si="152">SUM(H304:J304)</f>
        <v>1120.078</v>
      </c>
      <c r="H304" s="97"/>
      <c r="I304" s="97">
        <v>1000</v>
      </c>
      <c r="J304" s="97">
        <v>120.078</v>
      </c>
      <c r="K304" s="148">
        <v>1120</v>
      </c>
      <c r="L304" s="97">
        <f>M304+N304+O304</f>
        <v>760</v>
      </c>
      <c r="M304" s="36"/>
      <c r="N304" s="36">
        <f>300+300+160</f>
        <v>760</v>
      </c>
      <c r="O304" s="37"/>
      <c r="P304" s="97">
        <f t="shared" ref="P304:P312" si="153">K304-L304</f>
        <v>360</v>
      </c>
      <c r="Q304" s="40"/>
      <c r="R304" s="40">
        <f>I304-N304</f>
        <v>240</v>
      </c>
      <c r="S304" s="40">
        <f>J304-O304</f>
        <v>120.078</v>
      </c>
      <c r="T304" s="148">
        <v>0</v>
      </c>
      <c r="U304" s="22">
        <f t="shared" ref="U304:U313" si="154">V304+W304+X304+Y304+Z304+AA304</f>
        <v>108</v>
      </c>
      <c r="V304" s="22"/>
      <c r="W304" s="22"/>
      <c r="X304" s="22">
        <v>108</v>
      </c>
      <c r="Y304" s="22"/>
      <c r="Z304" s="22"/>
      <c r="AA304" s="22"/>
      <c r="AB304" s="97">
        <f t="shared" ref="AB304:AB312" si="155">P304+T304-U304</f>
        <v>252</v>
      </c>
      <c r="AC304" s="97"/>
      <c r="AD304" s="97">
        <f t="shared" ref="AD304:AD312" si="156">R304-X304</f>
        <v>132</v>
      </c>
      <c r="AE304" s="97">
        <v>120</v>
      </c>
      <c r="AF304" s="175"/>
      <c r="AG304" s="175">
        <v>1120</v>
      </c>
      <c r="AH304" s="191">
        <f t="shared" ref="AH304:AH317" si="157">L304+U304</f>
        <v>868</v>
      </c>
      <c r="AI304" s="191"/>
      <c r="AJ304" s="191">
        <f t="shared" ref="AJ304:AJ309" si="158">N304+X304+Y304</f>
        <v>868</v>
      </c>
      <c r="AK304" s="191">
        <f>O304+Z304+AA304</f>
        <v>0</v>
      </c>
      <c r="AL304" s="191">
        <f t="shared" ref="AL304:AL312" si="159">AG304-AH304</f>
        <v>252</v>
      </c>
      <c r="AM304" s="191"/>
      <c r="AN304" s="191">
        <v>132</v>
      </c>
      <c r="AO304" s="191">
        <v>120</v>
      </c>
      <c r="AP304" s="166"/>
      <c r="AQ304" s="166"/>
      <c r="AR304" s="3"/>
      <c r="AS304" s="3"/>
      <c r="AT304" s="3"/>
      <c r="AU304" s="3"/>
      <c r="AV304" s="3"/>
      <c r="AW304" s="3"/>
      <c r="AX304" s="3"/>
      <c r="AY304" s="3"/>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c r="IB304" s="4"/>
      <c r="IC304" s="4"/>
      <c r="ID304" s="4"/>
      <c r="IE304" s="4"/>
      <c r="IF304" s="4"/>
      <c r="IG304" s="4"/>
      <c r="IH304" s="4"/>
      <c r="II304" s="4"/>
      <c r="IJ304" s="4"/>
      <c r="IK304" s="4"/>
      <c r="IL304" s="4"/>
      <c r="IM304" s="4"/>
    </row>
    <row r="305" spans="1:247" ht="39" customHeight="1" x14ac:dyDescent="0.3">
      <c r="A305" s="89">
        <v>2</v>
      </c>
      <c r="B305" s="123" t="s">
        <v>558</v>
      </c>
      <c r="C305" s="91" t="s">
        <v>556</v>
      </c>
      <c r="D305" s="145">
        <v>2022</v>
      </c>
      <c r="E305" s="146">
        <v>2023</v>
      </c>
      <c r="F305" s="147" t="s">
        <v>559</v>
      </c>
      <c r="G305" s="97">
        <f t="shared" si="152"/>
        <v>1600</v>
      </c>
      <c r="H305" s="97"/>
      <c r="I305" s="97">
        <v>1400</v>
      </c>
      <c r="J305" s="97">
        <v>200</v>
      </c>
      <c r="K305" s="148">
        <v>1595</v>
      </c>
      <c r="L305" s="97">
        <f>M305+N305+O305</f>
        <v>600</v>
      </c>
      <c r="M305" s="36"/>
      <c r="N305" s="36">
        <f>400+200</f>
        <v>600</v>
      </c>
      <c r="O305" s="37"/>
      <c r="P305" s="97">
        <f t="shared" si="153"/>
        <v>995</v>
      </c>
      <c r="Q305" s="40"/>
      <c r="R305" s="40">
        <v>796</v>
      </c>
      <c r="S305" s="40">
        <v>199</v>
      </c>
      <c r="T305" s="148"/>
      <c r="U305" s="22">
        <f t="shared" si="154"/>
        <v>158</v>
      </c>
      <c r="V305" s="22"/>
      <c r="W305" s="22"/>
      <c r="X305" s="22">
        <v>158</v>
      </c>
      <c r="Y305" s="22"/>
      <c r="Z305" s="22"/>
      <c r="AA305" s="22"/>
      <c r="AB305" s="97">
        <f t="shared" si="155"/>
        <v>837</v>
      </c>
      <c r="AC305" s="97"/>
      <c r="AD305" s="97">
        <f t="shared" si="156"/>
        <v>638</v>
      </c>
      <c r="AE305" s="97">
        <v>199</v>
      </c>
      <c r="AF305" s="175"/>
      <c r="AG305" s="175">
        <v>1595</v>
      </c>
      <c r="AH305" s="191">
        <f t="shared" si="157"/>
        <v>758</v>
      </c>
      <c r="AI305" s="191"/>
      <c r="AJ305" s="191">
        <f t="shared" si="158"/>
        <v>758</v>
      </c>
      <c r="AK305" s="191">
        <f>O305+Y305+Z305</f>
        <v>0</v>
      </c>
      <c r="AL305" s="191">
        <f t="shared" si="159"/>
        <v>837</v>
      </c>
      <c r="AM305" s="191"/>
      <c r="AN305" s="191">
        <v>638</v>
      </c>
      <c r="AO305" s="191">
        <v>199</v>
      </c>
      <c r="AP305" s="166"/>
      <c r="AQ305" s="166"/>
      <c r="AR305" s="3"/>
      <c r="AS305" s="3"/>
      <c r="AT305" s="3"/>
      <c r="AU305" s="3"/>
      <c r="AV305" s="3"/>
      <c r="AW305" s="3"/>
      <c r="AX305" s="3"/>
      <c r="AY305" s="3"/>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c r="IB305" s="4"/>
      <c r="IC305" s="4"/>
      <c r="ID305" s="4"/>
      <c r="IE305" s="4"/>
      <c r="IF305" s="4"/>
      <c r="IG305" s="4"/>
      <c r="IH305" s="4"/>
      <c r="II305" s="4"/>
      <c r="IJ305" s="4"/>
      <c r="IK305" s="4"/>
      <c r="IL305" s="4"/>
      <c r="IM305" s="4"/>
    </row>
    <row r="306" spans="1:247" ht="39" customHeight="1" x14ac:dyDescent="0.3">
      <c r="A306" s="89">
        <v>3</v>
      </c>
      <c r="B306" s="123" t="s">
        <v>560</v>
      </c>
      <c r="C306" s="91" t="s">
        <v>556</v>
      </c>
      <c r="D306" s="145">
        <v>2022</v>
      </c>
      <c r="E306" s="146">
        <v>2023</v>
      </c>
      <c r="F306" s="147" t="s">
        <v>561</v>
      </c>
      <c r="G306" s="97">
        <f t="shared" si="152"/>
        <v>1100</v>
      </c>
      <c r="H306" s="97"/>
      <c r="I306" s="97">
        <v>1000</v>
      </c>
      <c r="J306" s="97">
        <v>100</v>
      </c>
      <c r="K306" s="148">
        <v>1094</v>
      </c>
      <c r="L306" s="97">
        <f t="shared" ref="L306:L317" si="160">M306+N306+O306</f>
        <v>435</v>
      </c>
      <c r="M306" s="36"/>
      <c r="N306" s="36">
        <f>300+120</f>
        <v>420</v>
      </c>
      <c r="O306" s="37">
        <v>15</v>
      </c>
      <c r="P306" s="97">
        <f t="shared" si="153"/>
        <v>659</v>
      </c>
      <c r="Q306" s="40"/>
      <c r="R306" s="40">
        <v>575</v>
      </c>
      <c r="S306" s="40">
        <v>84</v>
      </c>
      <c r="T306" s="148"/>
      <c r="U306" s="22">
        <f t="shared" si="154"/>
        <v>100</v>
      </c>
      <c r="V306" s="22"/>
      <c r="W306" s="22"/>
      <c r="X306" s="22">
        <v>100</v>
      </c>
      <c r="Y306" s="22"/>
      <c r="Z306" s="22"/>
      <c r="AA306" s="22"/>
      <c r="AB306" s="97">
        <f t="shared" si="155"/>
        <v>559</v>
      </c>
      <c r="AC306" s="97"/>
      <c r="AD306" s="97">
        <f t="shared" si="156"/>
        <v>475</v>
      </c>
      <c r="AE306" s="97">
        <v>84</v>
      </c>
      <c r="AF306" s="175"/>
      <c r="AG306" s="175">
        <f t="shared" ref="AG306:AG312" si="161">K306</f>
        <v>1094</v>
      </c>
      <c r="AH306" s="191">
        <f t="shared" si="157"/>
        <v>535</v>
      </c>
      <c r="AI306" s="191"/>
      <c r="AJ306" s="191">
        <f t="shared" si="158"/>
        <v>520</v>
      </c>
      <c r="AK306" s="191">
        <f>O306+Y306+Z306</f>
        <v>15</v>
      </c>
      <c r="AL306" s="191">
        <f t="shared" si="159"/>
        <v>559</v>
      </c>
      <c r="AM306" s="191"/>
      <c r="AN306" s="191">
        <v>475</v>
      </c>
      <c r="AO306" s="191">
        <v>84</v>
      </c>
      <c r="AP306" s="166"/>
      <c r="AQ306" s="166"/>
      <c r="AR306" s="3"/>
      <c r="AS306" s="3"/>
      <c r="AT306" s="3"/>
      <c r="AU306" s="3"/>
      <c r="AV306" s="3"/>
      <c r="AW306" s="3"/>
      <c r="AX306" s="3"/>
      <c r="AY306" s="3"/>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c r="IB306" s="4"/>
      <c r="IC306" s="4"/>
      <c r="ID306" s="4"/>
      <c r="IE306" s="4"/>
      <c r="IF306" s="4"/>
      <c r="IG306" s="4"/>
      <c r="IH306" s="4"/>
      <c r="II306" s="4"/>
      <c r="IJ306" s="4"/>
      <c r="IK306" s="4"/>
      <c r="IL306" s="4"/>
      <c r="IM306" s="4"/>
    </row>
    <row r="307" spans="1:247" ht="39" customHeight="1" x14ac:dyDescent="0.3">
      <c r="A307" s="89">
        <v>4</v>
      </c>
      <c r="B307" s="123" t="s">
        <v>562</v>
      </c>
      <c r="C307" s="91" t="s">
        <v>556</v>
      </c>
      <c r="D307" s="145">
        <v>2022</v>
      </c>
      <c r="E307" s="146">
        <v>2023</v>
      </c>
      <c r="F307" s="147" t="s">
        <v>563</v>
      </c>
      <c r="G307" s="97">
        <f t="shared" si="152"/>
        <v>4482.6289999999999</v>
      </c>
      <c r="H307" s="97"/>
      <c r="I307" s="97">
        <v>3600</v>
      </c>
      <c r="J307" s="97">
        <v>882.62900000000002</v>
      </c>
      <c r="K307" s="148">
        <v>4465</v>
      </c>
      <c r="L307" s="97">
        <f t="shared" si="160"/>
        <v>1000</v>
      </c>
      <c r="M307" s="97"/>
      <c r="N307" s="97">
        <v>1000</v>
      </c>
      <c r="O307" s="97"/>
      <c r="P307" s="97">
        <f t="shared" si="153"/>
        <v>3465</v>
      </c>
      <c r="Q307" s="97"/>
      <c r="R307" s="97">
        <v>2586</v>
      </c>
      <c r="S307" s="97">
        <v>879</v>
      </c>
      <c r="T307" s="148"/>
      <c r="U307" s="22">
        <f t="shared" si="154"/>
        <v>360</v>
      </c>
      <c r="V307" s="22"/>
      <c r="W307" s="22"/>
      <c r="X307" s="22">
        <v>360</v>
      </c>
      <c r="Y307" s="22"/>
      <c r="Z307" s="22"/>
      <c r="AA307" s="22"/>
      <c r="AB307" s="97">
        <f t="shared" si="155"/>
        <v>3105</v>
      </c>
      <c r="AC307" s="97"/>
      <c r="AD307" s="97">
        <f t="shared" si="156"/>
        <v>2226</v>
      </c>
      <c r="AE307" s="97">
        <v>879</v>
      </c>
      <c r="AF307" s="175"/>
      <c r="AG307" s="175">
        <f t="shared" si="161"/>
        <v>4465</v>
      </c>
      <c r="AH307" s="191">
        <f t="shared" si="157"/>
        <v>1360</v>
      </c>
      <c r="AI307" s="191"/>
      <c r="AJ307" s="191">
        <f t="shared" si="158"/>
        <v>1360</v>
      </c>
      <c r="AK307" s="191">
        <f>O307+Y307+Z307</f>
        <v>0</v>
      </c>
      <c r="AL307" s="191">
        <f t="shared" si="159"/>
        <v>3105</v>
      </c>
      <c r="AM307" s="191"/>
      <c r="AN307" s="191">
        <v>2226</v>
      </c>
      <c r="AO307" s="191">
        <v>879</v>
      </c>
      <c r="AP307" s="166"/>
      <c r="AQ307" s="166"/>
      <c r="AR307" s="3"/>
      <c r="AS307" s="3"/>
      <c r="AT307" s="3"/>
      <c r="AU307" s="3"/>
      <c r="AV307" s="3"/>
      <c r="AW307" s="3"/>
      <c r="AX307" s="3"/>
      <c r="AY307" s="3"/>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c r="IB307" s="4"/>
      <c r="IC307" s="4"/>
      <c r="ID307" s="4"/>
      <c r="IE307" s="4"/>
      <c r="IF307" s="4"/>
      <c r="IG307" s="4"/>
      <c r="IH307" s="4"/>
      <c r="II307" s="4"/>
      <c r="IJ307" s="4"/>
      <c r="IK307" s="4"/>
      <c r="IL307" s="4"/>
      <c r="IM307" s="4"/>
    </row>
    <row r="308" spans="1:247" s="10" customFormat="1" ht="39" customHeight="1" x14ac:dyDescent="0.3">
      <c r="A308" s="89">
        <v>5</v>
      </c>
      <c r="B308" s="123" t="s">
        <v>564</v>
      </c>
      <c r="C308" s="91" t="s">
        <v>556</v>
      </c>
      <c r="D308" s="145">
        <v>2022</v>
      </c>
      <c r="E308" s="146">
        <v>2023</v>
      </c>
      <c r="F308" s="147" t="s">
        <v>565</v>
      </c>
      <c r="G308" s="97">
        <f t="shared" si="152"/>
        <v>4467.085</v>
      </c>
      <c r="H308" s="97"/>
      <c r="I308" s="97">
        <v>4000</v>
      </c>
      <c r="J308" s="97">
        <v>467.08499999999998</v>
      </c>
      <c r="K308" s="148">
        <v>4467</v>
      </c>
      <c r="L308" s="97">
        <f t="shared" si="160"/>
        <v>1400</v>
      </c>
      <c r="M308" s="36"/>
      <c r="N308" s="36">
        <v>1400</v>
      </c>
      <c r="O308" s="37"/>
      <c r="P308" s="97">
        <f t="shared" si="153"/>
        <v>3067</v>
      </c>
      <c r="Q308" s="40"/>
      <c r="R308" s="40">
        <f>I308-N308</f>
        <v>2600</v>
      </c>
      <c r="S308" s="40">
        <f>J308</f>
        <v>467.08499999999998</v>
      </c>
      <c r="T308" s="148">
        <v>0</v>
      </c>
      <c r="U308" s="22">
        <f t="shared" si="154"/>
        <v>690</v>
      </c>
      <c r="V308" s="22"/>
      <c r="W308" s="22"/>
      <c r="X308" s="22">
        <v>690</v>
      </c>
      <c r="Y308" s="22"/>
      <c r="Z308" s="22"/>
      <c r="AA308" s="22"/>
      <c r="AB308" s="97">
        <f t="shared" si="155"/>
        <v>2377</v>
      </c>
      <c r="AC308" s="97"/>
      <c r="AD308" s="97">
        <f t="shared" si="156"/>
        <v>1910</v>
      </c>
      <c r="AE308" s="97">
        <v>467</v>
      </c>
      <c r="AF308" s="175"/>
      <c r="AG308" s="175">
        <f t="shared" si="161"/>
        <v>4467</v>
      </c>
      <c r="AH308" s="191">
        <f t="shared" si="157"/>
        <v>2090</v>
      </c>
      <c r="AI308" s="191"/>
      <c r="AJ308" s="191">
        <f t="shared" si="158"/>
        <v>2090</v>
      </c>
      <c r="AK308" s="191"/>
      <c r="AL308" s="191">
        <f t="shared" si="159"/>
        <v>2377</v>
      </c>
      <c r="AM308" s="191"/>
      <c r="AN308" s="191">
        <v>1910</v>
      </c>
      <c r="AO308" s="191">
        <v>467</v>
      </c>
      <c r="AP308" s="166"/>
      <c r="AQ308" s="166"/>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c r="HV308" s="3"/>
      <c r="HW308" s="3"/>
      <c r="HX308" s="3"/>
      <c r="HY308" s="3"/>
      <c r="HZ308" s="3"/>
      <c r="IA308" s="3"/>
      <c r="IB308" s="3"/>
      <c r="IC308" s="3"/>
      <c r="ID308" s="3"/>
      <c r="IE308" s="3"/>
      <c r="IF308" s="3"/>
      <c r="IG308" s="3"/>
      <c r="IH308" s="3"/>
      <c r="II308" s="3"/>
      <c r="IJ308" s="3"/>
      <c r="IK308" s="3"/>
      <c r="IL308" s="3"/>
      <c r="IM308" s="3"/>
    </row>
    <row r="309" spans="1:247" s="10" customFormat="1" ht="39" customHeight="1" x14ac:dyDescent="0.3">
      <c r="A309" s="89">
        <v>6</v>
      </c>
      <c r="B309" s="123" t="s">
        <v>566</v>
      </c>
      <c r="C309" s="91" t="s">
        <v>556</v>
      </c>
      <c r="D309" s="145">
        <v>2022</v>
      </c>
      <c r="E309" s="146">
        <v>2023</v>
      </c>
      <c r="F309" s="147" t="s">
        <v>567</v>
      </c>
      <c r="G309" s="97">
        <f t="shared" si="152"/>
        <v>7984.567</v>
      </c>
      <c r="H309" s="97"/>
      <c r="I309" s="97">
        <v>7700</v>
      </c>
      <c r="J309" s="97">
        <v>284.56700000000001</v>
      </c>
      <c r="K309" s="148">
        <v>7939</v>
      </c>
      <c r="L309" s="97">
        <f t="shared" si="160"/>
        <v>2400</v>
      </c>
      <c r="M309" s="36"/>
      <c r="N309" s="36">
        <v>2400</v>
      </c>
      <c r="O309" s="37"/>
      <c r="P309" s="97">
        <f t="shared" si="153"/>
        <v>5539</v>
      </c>
      <c r="Q309" s="40"/>
      <c r="R309" s="40">
        <v>5256</v>
      </c>
      <c r="S309" s="40">
        <v>283</v>
      </c>
      <c r="T309" s="148"/>
      <c r="U309" s="22">
        <f t="shared" si="154"/>
        <v>482</v>
      </c>
      <c r="V309" s="22"/>
      <c r="W309" s="22"/>
      <c r="X309" s="22">
        <v>482</v>
      </c>
      <c r="Y309" s="22"/>
      <c r="Z309" s="22"/>
      <c r="AA309" s="22"/>
      <c r="AB309" s="97">
        <f t="shared" si="155"/>
        <v>5057</v>
      </c>
      <c r="AC309" s="97"/>
      <c r="AD309" s="97">
        <f t="shared" si="156"/>
        <v>4774</v>
      </c>
      <c r="AE309" s="97">
        <v>283</v>
      </c>
      <c r="AF309" s="175"/>
      <c r="AG309" s="175">
        <f t="shared" si="161"/>
        <v>7939</v>
      </c>
      <c r="AH309" s="191">
        <f t="shared" si="157"/>
        <v>2882</v>
      </c>
      <c r="AI309" s="191"/>
      <c r="AJ309" s="191">
        <f t="shared" si="158"/>
        <v>2882</v>
      </c>
      <c r="AK309" s="191"/>
      <c r="AL309" s="191">
        <f t="shared" si="159"/>
        <v>5057</v>
      </c>
      <c r="AM309" s="191"/>
      <c r="AN309" s="191">
        <v>4774</v>
      </c>
      <c r="AO309" s="191">
        <v>283</v>
      </c>
      <c r="AP309" s="166"/>
      <c r="AQ309" s="166"/>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c r="HV309" s="3"/>
      <c r="HW309" s="3"/>
      <c r="HX309" s="3"/>
      <c r="HY309" s="3"/>
      <c r="HZ309" s="3"/>
      <c r="IA309" s="3"/>
      <c r="IB309" s="3"/>
      <c r="IC309" s="3"/>
      <c r="ID309" s="3"/>
      <c r="IE309" s="3"/>
      <c r="IF309" s="3"/>
      <c r="IG309" s="3"/>
      <c r="IH309" s="3"/>
      <c r="II309" s="3"/>
      <c r="IJ309" s="3"/>
      <c r="IK309" s="3"/>
      <c r="IL309" s="3"/>
      <c r="IM309" s="3"/>
    </row>
    <row r="310" spans="1:247" s="10" customFormat="1" ht="39" customHeight="1" x14ac:dyDescent="0.3">
      <c r="A310" s="89">
        <v>7</v>
      </c>
      <c r="B310" s="123" t="s">
        <v>568</v>
      </c>
      <c r="C310" s="91" t="s">
        <v>556</v>
      </c>
      <c r="D310" s="145">
        <v>2022</v>
      </c>
      <c r="E310" s="146">
        <v>2023</v>
      </c>
      <c r="F310" s="147" t="s">
        <v>569</v>
      </c>
      <c r="G310" s="97">
        <f t="shared" si="152"/>
        <v>4488</v>
      </c>
      <c r="H310" s="97">
        <v>2500</v>
      </c>
      <c r="I310" s="97">
        <v>1988</v>
      </c>
      <c r="J310" s="97">
        <v>0</v>
      </c>
      <c r="K310" s="148">
        <v>4488</v>
      </c>
      <c r="L310" s="97">
        <f t="shared" si="160"/>
        <v>3100</v>
      </c>
      <c r="M310" s="36">
        <v>2500</v>
      </c>
      <c r="N310" s="37">
        <v>600</v>
      </c>
      <c r="O310" s="37"/>
      <c r="P310" s="97">
        <f t="shared" si="153"/>
        <v>1388</v>
      </c>
      <c r="Q310" s="40">
        <f>H310-M310</f>
        <v>0</v>
      </c>
      <c r="R310" s="40">
        <f>I310-N310</f>
        <v>1388</v>
      </c>
      <c r="S310" s="40">
        <f>J310-O310</f>
        <v>0</v>
      </c>
      <c r="T310" s="148">
        <v>0</v>
      </c>
      <c r="U310" s="22">
        <f t="shared" si="154"/>
        <v>600</v>
      </c>
      <c r="V310" s="22"/>
      <c r="W310" s="22"/>
      <c r="X310" s="22">
        <v>600</v>
      </c>
      <c r="Y310" s="22"/>
      <c r="Z310" s="22"/>
      <c r="AA310" s="22"/>
      <c r="AB310" s="97">
        <f t="shared" si="155"/>
        <v>788</v>
      </c>
      <c r="AC310" s="97"/>
      <c r="AD310" s="97">
        <f t="shared" si="156"/>
        <v>788</v>
      </c>
      <c r="AE310" s="97"/>
      <c r="AF310" s="175"/>
      <c r="AG310" s="175">
        <f t="shared" si="161"/>
        <v>4488</v>
      </c>
      <c r="AH310" s="191">
        <f t="shared" si="157"/>
        <v>3700</v>
      </c>
      <c r="AI310" s="191">
        <v>2500</v>
      </c>
      <c r="AJ310" s="191">
        <v>1200</v>
      </c>
      <c r="AK310" s="191"/>
      <c r="AL310" s="191">
        <f t="shared" si="159"/>
        <v>788</v>
      </c>
      <c r="AM310" s="191"/>
      <c r="AN310" s="191">
        <v>788</v>
      </c>
      <c r="AO310" s="191"/>
      <c r="AP310" s="166"/>
      <c r="AQ310" s="166"/>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c r="II310" s="3"/>
      <c r="IJ310" s="3"/>
      <c r="IK310" s="3"/>
      <c r="IL310" s="3"/>
      <c r="IM310" s="3"/>
    </row>
    <row r="311" spans="1:247" s="10" customFormat="1" ht="39" customHeight="1" x14ac:dyDescent="0.3">
      <c r="A311" s="89">
        <v>8</v>
      </c>
      <c r="B311" s="123" t="s">
        <v>570</v>
      </c>
      <c r="C311" s="91" t="s">
        <v>556</v>
      </c>
      <c r="D311" s="145">
        <v>2022</v>
      </c>
      <c r="E311" s="146">
        <v>2023</v>
      </c>
      <c r="F311" s="147" t="s">
        <v>571</v>
      </c>
      <c r="G311" s="97">
        <f t="shared" si="152"/>
        <v>4500</v>
      </c>
      <c r="H311" s="97"/>
      <c r="I311" s="97">
        <v>4200</v>
      </c>
      <c r="J311" s="97">
        <v>300</v>
      </c>
      <c r="K311" s="148">
        <v>4482</v>
      </c>
      <c r="L311" s="97">
        <f t="shared" si="160"/>
        <v>2400</v>
      </c>
      <c r="M311" s="36"/>
      <c r="N311" s="36">
        <f>1500+900</f>
        <v>2400</v>
      </c>
      <c r="O311" s="37"/>
      <c r="P311" s="97">
        <f t="shared" si="153"/>
        <v>2082</v>
      </c>
      <c r="Q311" s="40"/>
      <c r="R311" s="40">
        <f>I311-N311</f>
        <v>1800</v>
      </c>
      <c r="S311" s="40">
        <v>282</v>
      </c>
      <c r="T311" s="148">
        <v>0</v>
      </c>
      <c r="U311" s="22">
        <f t="shared" si="154"/>
        <v>0</v>
      </c>
      <c r="V311" s="22"/>
      <c r="W311" s="22"/>
      <c r="X311" s="22"/>
      <c r="Y311" s="22"/>
      <c r="Z311" s="22"/>
      <c r="AA311" s="22"/>
      <c r="AB311" s="97">
        <f t="shared" si="155"/>
        <v>2082</v>
      </c>
      <c r="AC311" s="97"/>
      <c r="AD311" s="97">
        <f t="shared" si="156"/>
        <v>1800</v>
      </c>
      <c r="AE311" s="97">
        <v>282</v>
      </c>
      <c r="AF311" s="175"/>
      <c r="AG311" s="175">
        <f t="shared" si="161"/>
        <v>4482</v>
      </c>
      <c r="AH311" s="191">
        <f t="shared" si="157"/>
        <v>2400</v>
      </c>
      <c r="AI311" s="191"/>
      <c r="AJ311" s="191">
        <v>2400</v>
      </c>
      <c r="AK311" s="191"/>
      <c r="AL311" s="191">
        <f t="shared" si="159"/>
        <v>2082</v>
      </c>
      <c r="AM311" s="191"/>
      <c r="AN311" s="191">
        <v>1800</v>
      </c>
      <c r="AO311" s="191">
        <v>282</v>
      </c>
      <c r="AP311" s="166"/>
      <c r="AQ311" s="166"/>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c r="II311" s="3"/>
      <c r="IJ311" s="3"/>
      <c r="IK311" s="3"/>
      <c r="IL311" s="3"/>
      <c r="IM311" s="3"/>
    </row>
    <row r="312" spans="1:247" s="10" customFormat="1" ht="60.75" customHeight="1" x14ac:dyDescent="0.3">
      <c r="A312" s="89">
        <v>9</v>
      </c>
      <c r="B312" s="123" t="s">
        <v>572</v>
      </c>
      <c r="C312" s="91" t="s">
        <v>556</v>
      </c>
      <c r="D312" s="145">
        <v>2023</v>
      </c>
      <c r="E312" s="146">
        <v>2024</v>
      </c>
      <c r="F312" s="93" t="s">
        <v>573</v>
      </c>
      <c r="G312" s="97">
        <f t="shared" si="152"/>
        <v>1200</v>
      </c>
      <c r="H312" s="97"/>
      <c r="I312" s="97">
        <v>1000</v>
      </c>
      <c r="J312" s="97">
        <v>200</v>
      </c>
      <c r="K312" s="148">
        <v>1146</v>
      </c>
      <c r="L312" s="97">
        <f t="shared" si="160"/>
        <v>300</v>
      </c>
      <c r="M312" s="36"/>
      <c r="N312" s="36">
        <v>300</v>
      </c>
      <c r="O312" s="37"/>
      <c r="P312" s="97">
        <f t="shared" si="153"/>
        <v>846</v>
      </c>
      <c r="Q312" s="40"/>
      <c r="R312" s="40">
        <v>655</v>
      </c>
      <c r="S312" s="40">
        <v>191</v>
      </c>
      <c r="T312" s="148">
        <v>0</v>
      </c>
      <c r="U312" s="22">
        <f t="shared" si="154"/>
        <v>400</v>
      </c>
      <c r="V312" s="22"/>
      <c r="W312" s="22"/>
      <c r="X312" s="22">
        <v>400</v>
      </c>
      <c r="Y312" s="22"/>
      <c r="Z312" s="22"/>
      <c r="AA312" s="22"/>
      <c r="AB312" s="97">
        <f t="shared" si="155"/>
        <v>446</v>
      </c>
      <c r="AC312" s="97"/>
      <c r="AD312" s="97">
        <f t="shared" si="156"/>
        <v>255</v>
      </c>
      <c r="AE312" s="97">
        <v>191</v>
      </c>
      <c r="AF312" s="192"/>
      <c r="AG312" s="175">
        <f t="shared" si="161"/>
        <v>1146</v>
      </c>
      <c r="AH312" s="191">
        <f t="shared" si="157"/>
        <v>700</v>
      </c>
      <c r="AI312" s="191"/>
      <c r="AJ312" s="191">
        <v>700</v>
      </c>
      <c r="AK312" s="191"/>
      <c r="AL312" s="191">
        <f t="shared" si="159"/>
        <v>446</v>
      </c>
      <c r="AM312" s="191"/>
      <c r="AN312" s="191">
        <v>255</v>
      </c>
      <c r="AO312" s="191">
        <v>191</v>
      </c>
      <c r="AP312" s="166"/>
      <c r="AQ312" s="166"/>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c r="HV312" s="3"/>
      <c r="HW312" s="3"/>
      <c r="HX312" s="3"/>
      <c r="HY312" s="3"/>
      <c r="HZ312" s="3"/>
      <c r="IA312" s="3"/>
      <c r="IB312" s="3"/>
      <c r="IC312" s="3"/>
      <c r="ID312" s="3"/>
      <c r="IE312" s="3"/>
      <c r="IF312" s="3"/>
      <c r="IG312" s="3"/>
      <c r="IH312" s="3"/>
      <c r="II312" s="3"/>
      <c r="IJ312" s="3"/>
      <c r="IK312" s="3"/>
      <c r="IL312" s="3"/>
      <c r="IM312" s="3"/>
    </row>
    <row r="313" spans="1:247" ht="57" customHeight="1" x14ac:dyDescent="0.3">
      <c r="A313" s="89">
        <v>10</v>
      </c>
      <c r="B313" s="123" t="s">
        <v>574</v>
      </c>
      <c r="C313" s="91" t="s">
        <v>556</v>
      </c>
      <c r="D313" s="145">
        <v>2023</v>
      </c>
      <c r="E313" s="146">
        <v>2024</v>
      </c>
      <c r="F313" s="147" t="s">
        <v>575</v>
      </c>
      <c r="G313" s="97">
        <f t="shared" si="152"/>
        <v>5386</v>
      </c>
      <c r="H313" s="97"/>
      <c r="I313" s="97">
        <v>5000</v>
      </c>
      <c r="J313" s="97">
        <v>386</v>
      </c>
      <c r="K313" s="148">
        <v>0</v>
      </c>
      <c r="L313" s="97">
        <f t="shared" si="160"/>
        <v>500</v>
      </c>
      <c r="M313" s="36"/>
      <c r="N313" s="36">
        <v>500</v>
      </c>
      <c r="O313" s="37"/>
      <c r="P313" s="97"/>
      <c r="Q313" s="40"/>
      <c r="R313" s="40">
        <v>0</v>
      </c>
      <c r="S313" s="40">
        <v>0</v>
      </c>
      <c r="T313" s="148">
        <v>5384</v>
      </c>
      <c r="U313" s="22">
        <f t="shared" si="154"/>
        <v>2500</v>
      </c>
      <c r="V313" s="22"/>
      <c r="W313" s="22"/>
      <c r="X313" s="22"/>
      <c r="Y313" s="22">
        <v>2500</v>
      </c>
      <c r="Z313" s="22"/>
      <c r="AA313" s="22"/>
      <c r="AB313" s="97">
        <f>T313-U313-L313</f>
        <v>2384</v>
      </c>
      <c r="AC313" s="97"/>
      <c r="AD313" s="97">
        <v>1998</v>
      </c>
      <c r="AE313" s="97">
        <v>386</v>
      </c>
      <c r="AF313" s="192">
        <v>5384</v>
      </c>
      <c r="AG313" s="175"/>
      <c r="AH313" s="191">
        <f t="shared" si="157"/>
        <v>3000</v>
      </c>
      <c r="AI313" s="191"/>
      <c r="AJ313" s="191">
        <v>3000</v>
      </c>
      <c r="AK313" s="191"/>
      <c r="AL313" s="191">
        <f>G313-AH313</f>
        <v>2386</v>
      </c>
      <c r="AM313" s="191"/>
      <c r="AN313" s="191">
        <v>2000</v>
      </c>
      <c r="AO313" s="191">
        <v>386</v>
      </c>
      <c r="AP313" s="166"/>
      <c r="AQ313" s="166"/>
      <c r="AR313" s="3"/>
      <c r="AS313" s="3"/>
      <c r="AT313" s="3"/>
      <c r="AU313" s="3"/>
      <c r="AV313" s="3"/>
      <c r="AW313" s="3"/>
      <c r="AX313" s="3"/>
      <c r="AY313" s="3"/>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c r="IB313" s="4"/>
      <c r="IC313" s="4"/>
      <c r="ID313" s="4"/>
      <c r="IE313" s="4"/>
      <c r="IF313" s="4"/>
      <c r="IG313" s="4"/>
      <c r="IH313" s="4"/>
      <c r="II313" s="4"/>
      <c r="IJ313" s="4"/>
      <c r="IK313" s="4"/>
      <c r="IL313" s="4"/>
      <c r="IM313" s="4"/>
    </row>
    <row r="314" spans="1:247" ht="99.75" customHeight="1" x14ac:dyDescent="0.3">
      <c r="A314" s="89">
        <v>11</v>
      </c>
      <c r="B314" s="123" t="s">
        <v>576</v>
      </c>
      <c r="C314" s="91" t="s">
        <v>556</v>
      </c>
      <c r="D314" s="145">
        <v>2023</v>
      </c>
      <c r="E314" s="146">
        <v>2024</v>
      </c>
      <c r="F314" s="147" t="s">
        <v>577</v>
      </c>
      <c r="G314" s="97">
        <f t="shared" si="152"/>
        <v>3000</v>
      </c>
      <c r="H314" s="97"/>
      <c r="I314" s="97">
        <v>2500</v>
      </c>
      <c r="J314" s="97">
        <v>500</v>
      </c>
      <c r="K314" s="148">
        <v>0</v>
      </c>
      <c r="L314" s="97">
        <f t="shared" si="160"/>
        <v>500</v>
      </c>
      <c r="M314" s="36"/>
      <c r="N314" s="36">
        <v>500</v>
      </c>
      <c r="O314" s="37"/>
      <c r="P314" s="97">
        <f t="shared" ref="P314:P316" si="162">Q314+R314+S314</f>
        <v>0</v>
      </c>
      <c r="Q314" s="40"/>
      <c r="R314" s="40">
        <v>0</v>
      </c>
      <c r="S314" s="40">
        <v>0</v>
      </c>
      <c r="T314" s="148">
        <v>1141</v>
      </c>
      <c r="U314" s="22">
        <f t="shared" ref="U314:U317" si="163">V314+W314+X314+Y314+Z314+AA314</f>
        <v>100</v>
      </c>
      <c r="V314" s="22"/>
      <c r="W314" s="22"/>
      <c r="X314" s="22"/>
      <c r="Y314" s="22">
        <v>100</v>
      </c>
      <c r="Z314" s="22"/>
      <c r="AA314" s="22"/>
      <c r="AB314" s="97">
        <f>T314-U314-L314</f>
        <v>541</v>
      </c>
      <c r="AC314" s="97"/>
      <c r="AD314" s="97">
        <f>T314*0.83-Y314-N314</f>
        <v>347.03</v>
      </c>
      <c r="AE314" s="97">
        <f>AB314-AD314</f>
        <v>193.97000000000003</v>
      </c>
      <c r="AF314" s="175">
        <v>1141</v>
      </c>
      <c r="AG314" s="175"/>
      <c r="AH314" s="191">
        <f t="shared" si="157"/>
        <v>600</v>
      </c>
      <c r="AI314" s="191"/>
      <c r="AJ314" s="191">
        <v>600</v>
      </c>
      <c r="AK314" s="191"/>
      <c r="AL314" s="191">
        <f>G314-AH314</f>
        <v>2400</v>
      </c>
      <c r="AM314" s="191"/>
      <c r="AN314" s="191">
        <f>I314-AJ314</f>
        <v>1900</v>
      </c>
      <c r="AO314" s="191">
        <v>500</v>
      </c>
      <c r="AP314" s="166"/>
      <c r="AQ314" s="166"/>
      <c r="AR314" s="3"/>
      <c r="AS314" s="3"/>
      <c r="AT314" s="3"/>
      <c r="AU314" s="3"/>
      <c r="AV314" s="3"/>
      <c r="AW314" s="3"/>
      <c r="AX314" s="3"/>
      <c r="AY314" s="3"/>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c r="IB314" s="4"/>
      <c r="IC314" s="4"/>
      <c r="ID314" s="4"/>
      <c r="IE314" s="4"/>
      <c r="IF314" s="4"/>
      <c r="IG314" s="4"/>
      <c r="IH314" s="4"/>
      <c r="II314" s="4"/>
      <c r="IJ314" s="4"/>
      <c r="IK314" s="4"/>
      <c r="IL314" s="4"/>
      <c r="IM314" s="4"/>
    </row>
    <row r="315" spans="1:247" ht="39" customHeight="1" x14ac:dyDescent="0.3">
      <c r="A315" s="89">
        <v>12</v>
      </c>
      <c r="B315" s="123" t="s">
        <v>578</v>
      </c>
      <c r="C315" s="91" t="s">
        <v>556</v>
      </c>
      <c r="D315" s="145">
        <v>2023</v>
      </c>
      <c r="E315" s="146">
        <v>2024</v>
      </c>
      <c r="F315" s="147" t="s">
        <v>579</v>
      </c>
      <c r="G315" s="97">
        <f t="shared" si="152"/>
        <v>2500</v>
      </c>
      <c r="H315" s="97"/>
      <c r="I315" s="97">
        <v>2000</v>
      </c>
      <c r="J315" s="97">
        <v>500</v>
      </c>
      <c r="K315" s="148">
        <v>0</v>
      </c>
      <c r="L315" s="97">
        <f t="shared" si="160"/>
        <v>500</v>
      </c>
      <c r="M315" s="97"/>
      <c r="N315" s="97">
        <v>500</v>
      </c>
      <c r="O315" s="97"/>
      <c r="P315" s="97">
        <f t="shared" si="162"/>
        <v>0</v>
      </c>
      <c r="Q315" s="97"/>
      <c r="R315" s="97">
        <v>0</v>
      </c>
      <c r="S315" s="97"/>
      <c r="T315" s="148">
        <v>1428</v>
      </c>
      <c r="U315" s="22">
        <f t="shared" si="163"/>
        <v>700</v>
      </c>
      <c r="V315" s="22"/>
      <c r="W315" s="22"/>
      <c r="X315" s="22"/>
      <c r="Y315" s="22">
        <v>700</v>
      </c>
      <c r="Z315" s="22"/>
      <c r="AA315" s="22"/>
      <c r="AB315" s="97"/>
      <c r="AC315" s="97"/>
      <c r="AD315" s="97">
        <v>0</v>
      </c>
      <c r="AE315" s="97"/>
      <c r="AF315" s="175">
        <v>1428</v>
      </c>
      <c r="AG315" s="175"/>
      <c r="AH315" s="191">
        <f t="shared" si="157"/>
        <v>1200</v>
      </c>
      <c r="AI315" s="191"/>
      <c r="AJ315" s="191">
        <v>1200</v>
      </c>
      <c r="AK315" s="191"/>
      <c r="AL315" s="191">
        <f>G315-AH315</f>
        <v>1300</v>
      </c>
      <c r="AM315" s="175"/>
      <c r="AN315" s="191">
        <f>I315-AJ315</f>
        <v>800</v>
      </c>
      <c r="AO315" s="175">
        <v>500</v>
      </c>
      <c r="AP315" s="166"/>
      <c r="AQ315" s="166"/>
      <c r="AR315" s="3"/>
      <c r="AS315" s="3"/>
      <c r="AT315" s="3"/>
      <c r="AU315" s="3"/>
      <c r="AV315" s="3"/>
      <c r="AW315" s="3"/>
      <c r="AX315" s="3"/>
      <c r="AY315" s="3"/>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c r="IB315" s="4"/>
      <c r="IC315" s="4"/>
      <c r="ID315" s="4"/>
      <c r="IE315" s="4"/>
      <c r="IF315" s="4"/>
      <c r="IG315" s="4"/>
      <c r="IH315" s="4"/>
      <c r="II315" s="4"/>
      <c r="IJ315" s="4"/>
      <c r="IK315" s="4"/>
      <c r="IL315" s="4"/>
      <c r="IM315" s="4"/>
    </row>
    <row r="316" spans="1:247" ht="39" customHeight="1" x14ac:dyDescent="0.3">
      <c r="A316" s="89">
        <v>13</v>
      </c>
      <c r="B316" s="123" t="s">
        <v>580</v>
      </c>
      <c r="C316" s="91" t="s">
        <v>556</v>
      </c>
      <c r="D316" s="145">
        <v>2023</v>
      </c>
      <c r="E316" s="146">
        <v>2024</v>
      </c>
      <c r="F316" s="147" t="s">
        <v>581</v>
      </c>
      <c r="G316" s="97">
        <f t="shared" si="152"/>
        <v>9000</v>
      </c>
      <c r="H316" s="97"/>
      <c r="I316" s="97">
        <v>8000</v>
      </c>
      <c r="J316" s="97">
        <v>1000</v>
      </c>
      <c r="K316" s="148">
        <v>0</v>
      </c>
      <c r="L316" s="97">
        <f t="shared" si="160"/>
        <v>1000</v>
      </c>
      <c r="M316" s="36"/>
      <c r="N316" s="36">
        <v>1000</v>
      </c>
      <c r="O316" s="37"/>
      <c r="P316" s="97">
        <f t="shared" si="162"/>
        <v>0</v>
      </c>
      <c r="Q316" s="40"/>
      <c r="R316" s="40">
        <v>0</v>
      </c>
      <c r="S316" s="40">
        <v>0</v>
      </c>
      <c r="T316" s="148">
        <v>3436</v>
      </c>
      <c r="U316" s="22">
        <f t="shared" si="163"/>
        <v>100</v>
      </c>
      <c r="V316" s="22"/>
      <c r="W316" s="22"/>
      <c r="X316" s="22"/>
      <c r="Y316" s="22">
        <v>100</v>
      </c>
      <c r="Z316" s="22"/>
      <c r="AA316" s="22"/>
      <c r="AB316" s="97">
        <f>T316-U316-L316</f>
        <v>2336</v>
      </c>
      <c r="AC316" s="97"/>
      <c r="AD316" s="97">
        <v>1954</v>
      </c>
      <c r="AE316" s="97">
        <v>382</v>
      </c>
      <c r="AF316" s="175">
        <v>3436</v>
      </c>
      <c r="AG316" s="175"/>
      <c r="AH316" s="191">
        <f t="shared" si="157"/>
        <v>1100</v>
      </c>
      <c r="AI316" s="191"/>
      <c r="AJ316" s="191">
        <v>1100</v>
      </c>
      <c r="AK316" s="191"/>
      <c r="AL316" s="191">
        <f>G316-AH316</f>
        <v>7900</v>
      </c>
      <c r="AM316" s="175"/>
      <c r="AN316" s="191">
        <f>I316-AJ316</f>
        <v>6900</v>
      </c>
      <c r="AO316" s="175">
        <v>1000</v>
      </c>
      <c r="AP316" s="166"/>
      <c r="AQ316" s="166"/>
      <c r="AR316" s="3"/>
      <c r="AS316" s="3"/>
      <c r="AT316" s="3"/>
      <c r="AU316" s="3"/>
      <c r="AV316" s="3"/>
      <c r="AW316" s="3"/>
      <c r="AX316" s="3"/>
      <c r="AY316" s="3"/>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c r="IB316" s="4"/>
      <c r="IC316" s="4"/>
      <c r="ID316" s="4"/>
      <c r="IE316" s="4"/>
      <c r="IF316" s="4"/>
      <c r="IG316" s="4"/>
      <c r="IH316" s="4"/>
      <c r="II316" s="4"/>
      <c r="IJ316" s="4"/>
      <c r="IK316" s="4"/>
      <c r="IL316" s="4"/>
      <c r="IM316" s="4"/>
    </row>
    <row r="317" spans="1:247" ht="55.5" customHeight="1" x14ac:dyDescent="0.3">
      <c r="A317" s="89">
        <v>14</v>
      </c>
      <c r="B317" s="123" t="s">
        <v>582</v>
      </c>
      <c r="C317" s="91" t="s">
        <v>556</v>
      </c>
      <c r="D317" s="145">
        <v>2022</v>
      </c>
      <c r="E317" s="146">
        <v>2024</v>
      </c>
      <c r="F317" s="147" t="s">
        <v>583</v>
      </c>
      <c r="G317" s="97">
        <f>SUM(H317:J317)</f>
        <v>3667</v>
      </c>
      <c r="H317" s="97">
        <v>2467</v>
      </c>
      <c r="I317" s="97">
        <v>700</v>
      </c>
      <c r="J317" s="97">
        <v>500</v>
      </c>
      <c r="K317" s="148">
        <v>3660</v>
      </c>
      <c r="L317" s="97">
        <f t="shared" si="160"/>
        <v>1699</v>
      </c>
      <c r="M317" s="36">
        <v>1374</v>
      </c>
      <c r="N317" s="36">
        <v>300</v>
      </c>
      <c r="O317" s="37">
        <v>25</v>
      </c>
      <c r="P317" s="97">
        <f>K317-L317</f>
        <v>1961</v>
      </c>
      <c r="Q317" s="40">
        <f>H317-M317</f>
        <v>1093</v>
      </c>
      <c r="R317" s="40">
        <f>I317-N317</f>
        <v>400</v>
      </c>
      <c r="S317" s="40">
        <f>P317-Q317-R317</f>
        <v>468</v>
      </c>
      <c r="T317" s="148">
        <v>0</v>
      </c>
      <c r="U317" s="22">
        <f t="shared" si="163"/>
        <v>818</v>
      </c>
      <c r="V317" s="22">
        <v>618</v>
      </c>
      <c r="W317" s="22"/>
      <c r="X317" s="22">
        <v>200</v>
      </c>
      <c r="Y317" s="22"/>
      <c r="Z317" s="22"/>
      <c r="AA317" s="22"/>
      <c r="AB317" s="97">
        <f>P317+T317-U317</f>
        <v>1143</v>
      </c>
      <c r="AC317" s="97">
        <f>Q317-V317</f>
        <v>475</v>
      </c>
      <c r="AD317" s="97">
        <f>R317-X317</f>
        <v>200</v>
      </c>
      <c r="AE317" s="97">
        <f>AB317-AC317-AD317</f>
        <v>468</v>
      </c>
      <c r="AF317" s="175"/>
      <c r="AG317" s="175">
        <v>3660</v>
      </c>
      <c r="AH317" s="191">
        <f t="shared" si="157"/>
        <v>2517</v>
      </c>
      <c r="AI317" s="191">
        <f>M317+V317</f>
        <v>1992</v>
      </c>
      <c r="AJ317" s="191">
        <f>N317+X317</f>
        <v>500</v>
      </c>
      <c r="AK317" s="191">
        <v>25</v>
      </c>
      <c r="AL317" s="191">
        <f>AG317-AH317</f>
        <v>1143</v>
      </c>
      <c r="AM317" s="175">
        <v>475</v>
      </c>
      <c r="AN317" s="191">
        <v>200</v>
      </c>
      <c r="AO317" s="175">
        <v>468</v>
      </c>
      <c r="AP317" s="166"/>
      <c r="AQ317" s="166"/>
      <c r="AR317" s="3"/>
      <c r="AS317" s="3"/>
      <c r="AT317" s="3"/>
      <c r="AU317" s="3"/>
      <c r="AV317" s="3"/>
      <c r="AW317" s="3"/>
      <c r="AX317" s="3"/>
      <c r="AY317" s="3"/>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c r="IB317" s="4"/>
      <c r="IC317" s="4"/>
      <c r="ID317" s="4"/>
      <c r="IE317" s="4"/>
      <c r="IF317" s="4"/>
      <c r="IG317" s="4"/>
      <c r="IH317" s="4"/>
      <c r="II317" s="4"/>
      <c r="IJ317" s="4"/>
      <c r="IK317" s="4"/>
      <c r="IL317" s="4"/>
      <c r="IM317" s="4"/>
    </row>
    <row r="318" spans="1:247" ht="23.25" customHeight="1" x14ac:dyDescent="0.3">
      <c r="A318" s="73" t="s">
        <v>352</v>
      </c>
      <c r="B318" s="74" t="s">
        <v>353</v>
      </c>
      <c r="C318" s="75"/>
      <c r="D318" s="75"/>
      <c r="E318" s="75"/>
      <c r="F318" s="75"/>
      <c r="G318" s="76">
        <f>G319</f>
        <v>682.06899999999996</v>
      </c>
      <c r="H318" s="76">
        <f t="shared" ref="H318:AO318" si="164">H319</f>
        <v>300</v>
      </c>
      <c r="I318" s="76">
        <f t="shared" si="164"/>
        <v>300</v>
      </c>
      <c r="J318" s="76">
        <f t="shared" si="164"/>
        <v>82.069000000000003</v>
      </c>
      <c r="K318" s="76">
        <f t="shared" si="164"/>
        <v>0</v>
      </c>
      <c r="L318" s="76">
        <f t="shared" si="164"/>
        <v>200</v>
      </c>
      <c r="M318" s="76">
        <f t="shared" si="164"/>
        <v>200</v>
      </c>
      <c r="N318" s="76">
        <f t="shared" si="164"/>
        <v>0</v>
      </c>
      <c r="O318" s="76">
        <f t="shared" si="164"/>
        <v>0</v>
      </c>
      <c r="P318" s="77">
        <f t="shared" si="164"/>
        <v>0</v>
      </c>
      <c r="Q318" s="77">
        <f t="shared" si="164"/>
        <v>0</v>
      </c>
      <c r="R318" s="77">
        <f t="shared" si="164"/>
        <v>0</v>
      </c>
      <c r="S318" s="77">
        <f t="shared" si="164"/>
        <v>0</v>
      </c>
      <c r="T318" s="77">
        <f t="shared" si="164"/>
        <v>682</v>
      </c>
      <c r="U318" s="77">
        <f t="shared" si="164"/>
        <v>100</v>
      </c>
      <c r="V318" s="77">
        <f t="shared" si="164"/>
        <v>0</v>
      </c>
      <c r="W318" s="77">
        <f t="shared" si="164"/>
        <v>100</v>
      </c>
      <c r="X318" s="77">
        <f t="shared" si="164"/>
        <v>0</v>
      </c>
      <c r="Y318" s="77">
        <f t="shared" si="164"/>
        <v>0</v>
      </c>
      <c r="Z318" s="77">
        <f t="shared" si="164"/>
        <v>0</v>
      </c>
      <c r="AA318" s="77">
        <f t="shared" si="164"/>
        <v>0</v>
      </c>
      <c r="AB318" s="77">
        <f t="shared" si="164"/>
        <v>382</v>
      </c>
      <c r="AC318" s="77">
        <f t="shared" si="164"/>
        <v>0</v>
      </c>
      <c r="AD318" s="77">
        <f t="shared" si="164"/>
        <v>300</v>
      </c>
      <c r="AE318" s="77">
        <f t="shared" si="164"/>
        <v>82</v>
      </c>
      <c r="AF318" s="188">
        <f t="shared" si="164"/>
        <v>0</v>
      </c>
      <c r="AG318" s="188">
        <f t="shared" si="164"/>
        <v>682</v>
      </c>
      <c r="AH318" s="188">
        <f t="shared" si="164"/>
        <v>300</v>
      </c>
      <c r="AI318" s="188">
        <f t="shared" si="164"/>
        <v>300</v>
      </c>
      <c r="AJ318" s="188">
        <f t="shared" si="164"/>
        <v>0</v>
      </c>
      <c r="AK318" s="188">
        <f t="shared" si="164"/>
        <v>0</v>
      </c>
      <c r="AL318" s="188">
        <f t="shared" si="164"/>
        <v>382</v>
      </c>
      <c r="AM318" s="188">
        <f t="shared" si="164"/>
        <v>0</v>
      </c>
      <c r="AN318" s="188">
        <f t="shared" si="164"/>
        <v>300</v>
      </c>
      <c r="AO318" s="188">
        <f t="shared" si="164"/>
        <v>82</v>
      </c>
      <c r="AP318" s="166"/>
      <c r="AQ318" s="166"/>
      <c r="AR318" s="3"/>
      <c r="AS318" s="3"/>
      <c r="AT318" s="3"/>
      <c r="AU318" s="3"/>
      <c r="AV318" s="3"/>
      <c r="AW318" s="3"/>
      <c r="AX318" s="3"/>
      <c r="AY318" s="3"/>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c r="IB318" s="4"/>
      <c r="IC318" s="4"/>
      <c r="ID318" s="4"/>
      <c r="IE318" s="4"/>
      <c r="IF318" s="4"/>
      <c r="IG318" s="4"/>
      <c r="IH318" s="4"/>
      <c r="II318" s="4"/>
      <c r="IJ318" s="4"/>
      <c r="IK318" s="4"/>
      <c r="IL318" s="4"/>
      <c r="IM318" s="4"/>
    </row>
    <row r="319" spans="1:247" s="4" customFormat="1" ht="39" customHeight="1" x14ac:dyDescent="0.3">
      <c r="A319" s="89">
        <v>1</v>
      </c>
      <c r="B319" s="123" t="s">
        <v>584</v>
      </c>
      <c r="C319" s="91" t="s">
        <v>556</v>
      </c>
      <c r="D319" s="145">
        <v>2023</v>
      </c>
      <c r="E319" s="146">
        <v>2024</v>
      </c>
      <c r="F319" s="93" t="s">
        <v>585</v>
      </c>
      <c r="G319" s="97">
        <f>SUM(H319:J319)</f>
        <v>682.06899999999996</v>
      </c>
      <c r="H319" s="97">
        <v>300</v>
      </c>
      <c r="I319" s="97">
        <v>300</v>
      </c>
      <c r="J319" s="97">
        <v>82.069000000000003</v>
      </c>
      <c r="K319" s="148"/>
      <c r="L319" s="97">
        <f t="shared" ref="L319" si="165">M319+N319+O319</f>
        <v>200</v>
      </c>
      <c r="M319" s="97">
        <v>200</v>
      </c>
      <c r="N319" s="97"/>
      <c r="O319" s="97"/>
      <c r="P319" s="97">
        <f>Q319+R319+S319</f>
        <v>0</v>
      </c>
      <c r="Q319" s="97"/>
      <c r="R319" s="97">
        <v>0</v>
      </c>
      <c r="S319" s="97">
        <v>0</v>
      </c>
      <c r="T319" s="148">
        <v>682</v>
      </c>
      <c r="U319" s="22">
        <f t="shared" ref="U319" si="166">V319+W319+X319+Y319+Z319+AA319</f>
        <v>100</v>
      </c>
      <c r="V319" s="22"/>
      <c r="W319" s="22">
        <v>100</v>
      </c>
      <c r="X319" s="22"/>
      <c r="Y319" s="22"/>
      <c r="Z319" s="22"/>
      <c r="AA319" s="22"/>
      <c r="AB319" s="97">
        <f>AC319+AD319+AE319</f>
        <v>382</v>
      </c>
      <c r="AC319" s="97"/>
      <c r="AD319" s="97">
        <v>300</v>
      </c>
      <c r="AE319" s="97">
        <v>82</v>
      </c>
      <c r="AF319" s="175"/>
      <c r="AG319" s="175">
        <v>682</v>
      </c>
      <c r="AH319" s="191">
        <f>AI319+AJ319+AK319</f>
        <v>300</v>
      </c>
      <c r="AI319" s="191">
        <v>300</v>
      </c>
      <c r="AJ319" s="191"/>
      <c r="AK319" s="191"/>
      <c r="AL319" s="191">
        <f>AM319+AN319+AO319</f>
        <v>382</v>
      </c>
      <c r="AM319" s="175"/>
      <c r="AN319" s="175">
        <v>300</v>
      </c>
      <c r="AO319" s="175">
        <v>82</v>
      </c>
      <c r="AP319" s="166"/>
      <c r="AQ319" s="166"/>
      <c r="AR319" s="3"/>
      <c r="AS319" s="3"/>
      <c r="AT319" s="3"/>
      <c r="AU319" s="3"/>
      <c r="AV319" s="3"/>
      <c r="AW319" s="3"/>
      <c r="AX319" s="3"/>
      <c r="AY319" s="3"/>
    </row>
    <row r="320" spans="1:247" ht="26.25" customHeight="1" x14ac:dyDescent="0.3">
      <c r="A320" s="81">
        <v>14</v>
      </c>
      <c r="B320" s="107" t="s">
        <v>586</v>
      </c>
      <c r="C320" s="82"/>
      <c r="D320" s="82"/>
      <c r="E320" s="82"/>
      <c r="F320" s="82"/>
      <c r="G320" s="83">
        <f>G321+G324+G334</f>
        <v>55752</v>
      </c>
      <c r="H320" s="83">
        <f t="shared" ref="H320:AO320" si="167">H321+H324+H334</f>
        <v>19800</v>
      </c>
      <c r="I320" s="83">
        <f t="shared" si="167"/>
        <v>31500</v>
      </c>
      <c r="J320" s="83">
        <f t="shared" si="167"/>
        <v>4452</v>
      </c>
      <c r="K320" s="83">
        <f t="shared" si="167"/>
        <v>46897</v>
      </c>
      <c r="L320" s="83">
        <f t="shared" si="167"/>
        <v>32887</v>
      </c>
      <c r="M320" s="83">
        <f t="shared" si="167"/>
        <v>16600</v>
      </c>
      <c r="N320" s="83">
        <f t="shared" si="167"/>
        <v>15280</v>
      </c>
      <c r="O320" s="83">
        <f t="shared" si="167"/>
        <v>1007</v>
      </c>
      <c r="P320" s="83">
        <f t="shared" si="167"/>
        <v>14010</v>
      </c>
      <c r="Q320" s="83">
        <f t="shared" si="167"/>
        <v>2365</v>
      </c>
      <c r="R320" s="83">
        <f t="shared" si="167"/>
        <v>9777.121212121212</v>
      </c>
      <c r="S320" s="83">
        <f t="shared" si="167"/>
        <v>1867.8787878787878</v>
      </c>
      <c r="T320" s="83">
        <f t="shared" si="167"/>
        <v>0</v>
      </c>
      <c r="U320" s="83">
        <f t="shared" si="167"/>
        <v>2301</v>
      </c>
      <c r="V320" s="83">
        <f t="shared" si="167"/>
        <v>200</v>
      </c>
      <c r="W320" s="83">
        <f t="shared" si="167"/>
        <v>0</v>
      </c>
      <c r="X320" s="83">
        <f t="shared" si="167"/>
        <v>2101</v>
      </c>
      <c r="Y320" s="83">
        <f t="shared" si="167"/>
        <v>0</v>
      </c>
      <c r="Z320" s="83">
        <f t="shared" si="167"/>
        <v>0</v>
      </c>
      <c r="AA320" s="83">
        <f t="shared" si="167"/>
        <v>0</v>
      </c>
      <c r="AB320" s="83">
        <f t="shared" si="167"/>
        <v>11709</v>
      </c>
      <c r="AC320" s="83">
        <f t="shared" si="167"/>
        <v>2165</v>
      </c>
      <c r="AD320" s="83">
        <f t="shared" si="167"/>
        <v>7676.121212121212</v>
      </c>
      <c r="AE320" s="83">
        <f t="shared" si="167"/>
        <v>1867.8787878787878</v>
      </c>
      <c r="AF320" s="193">
        <f t="shared" si="167"/>
        <v>23430</v>
      </c>
      <c r="AG320" s="193">
        <f t="shared" si="167"/>
        <v>23467</v>
      </c>
      <c r="AH320" s="193">
        <f t="shared" si="167"/>
        <v>35188</v>
      </c>
      <c r="AI320" s="193">
        <f t="shared" si="167"/>
        <v>16800</v>
      </c>
      <c r="AJ320" s="193">
        <f t="shared" si="167"/>
        <v>17381</v>
      </c>
      <c r="AK320" s="193">
        <f t="shared" si="167"/>
        <v>1007</v>
      </c>
      <c r="AL320" s="193">
        <f t="shared" si="167"/>
        <v>20459</v>
      </c>
      <c r="AM320" s="193">
        <f t="shared" si="167"/>
        <v>3000</v>
      </c>
      <c r="AN320" s="193">
        <f t="shared" si="167"/>
        <v>14089</v>
      </c>
      <c r="AO320" s="193">
        <f t="shared" si="167"/>
        <v>3370</v>
      </c>
      <c r="AP320" s="166"/>
      <c r="AQ320" s="166"/>
      <c r="AR320" s="3"/>
      <c r="AS320" s="3"/>
      <c r="AT320" s="3"/>
      <c r="AU320" s="3"/>
      <c r="AV320" s="3"/>
      <c r="AW320" s="3"/>
      <c r="AX320" s="3"/>
      <c r="AY320" s="3"/>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c r="IB320" s="4"/>
      <c r="IC320" s="4"/>
      <c r="ID320" s="4"/>
      <c r="IE320" s="4"/>
      <c r="IF320" s="4"/>
      <c r="IG320" s="4"/>
      <c r="IH320" s="4"/>
      <c r="II320" s="4"/>
      <c r="IJ320" s="4"/>
      <c r="IK320" s="4"/>
      <c r="IL320" s="4"/>
      <c r="IM320" s="4"/>
    </row>
    <row r="321" spans="1:247" ht="23.25" customHeight="1" x14ac:dyDescent="0.3">
      <c r="A321" s="73" t="s">
        <v>42</v>
      </c>
      <c r="B321" s="74" t="s">
        <v>243</v>
      </c>
      <c r="C321" s="75"/>
      <c r="D321" s="75"/>
      <c r="E321" s="75"/>
      <c r="F321" s="75"/>
      <c r="G321" s="76">
        <f>G322+G323</f>
        <v>25000</v>
      </c>
      <c r="H321" s="76">
        <f t="shared" ref="H321:AO321" si="168">H322+H323</f>
        <v>19000</v>
      </c>
      <c r="I321" s="76">
        <f t="shared" si="168"/>
        <v>6000</v>
      </c>
      <c r="J321" s="76">
        <f t="shared" si="168"/>
        <v>0</v>
      </c>
      <c r="K321" s="76">
        <f t="shared" si="168"/>
        <v>23995</v>
      </c>
      <c r="L321" s="76">
        <f t="shared" si="168"/>
        <v>19500</v>
      </c>
      <c r="M321" s="76">
        <f t="shared" si="168"/>
        <v>16300</v>
      </c>
      <c r="N321" s="76">
        <f t="shared" si="168"/>
        <v>3200</v>
      </c>
      <c r="O321" s="76">
        <f t="shared" si="168"/>
        <v>0</v>
      </c>
      <c r="P321" s="76">
        <f t="shared" si="168"/>
        <v>4495</v>
      </c>
      <c r="Q321" s="76">
        <f t="shared" si="168"/>
        <v>1865</v>
      </c>
      <c r="R321" s="76">
        <f t="shared" si="168"/>
        <v>2630</v>
      </c>
      <c r="S321" s="76">
        <f t="shared" si="168"/>
        <v>0</v>
      </c>
      <c r="T321" s="76">
        <f t="shared" si="168"/>
        <v>0</v>
      </c>
      <c r="U321" s="76">
        <f t="shared" si="168"/>
        <v>135</v>
      </c>
      <c r="V321" s="76">
        <f t="shared" si="168"/>
        <v>0</v>
      </c>
      <c r="W321" s="76">
        <f t="shared" si="168"/>
        <v>0</v>
      </c>
      <c r="X321" s="76">
        <f t="shared" si="168"/>
        <v>135</v>
      </c>
      <c r="Y321" s="76">
        <f t="shared" si="168"/>
        <v>0</v>
      </c>
      <c r="Z321" s="76">
        <f t="shared" si="168"/>
        <v>0</v>
      </c>
      <c r="AA321" s="76">
        <f t="shared" si="168"/>
        <v>0</v>
      </c>
      <c r="AB321" s="76">
        <f t="shared" si="168"/>
        <v>4360</v>
      </c>
      <c r="AC321" s="76">
        <f t="shared" si="168"/>
        <v>1865</v>
      </c>
      <c r="AD321" s="76">
        <f t="shared" si="168"/>
        <v>2495</v>
      </c>
      <c r="AE321" s="76">
        <f t="shared" si="168"/>
        <v>0</v>
      </c>
      <c r="AF321" s="194">
        <f t="shared" si="168"/>
        <v>9000</v>
      </c>
      <c r="AG321" s="194">
        <f t="shared" si="168"/>
        <v>14995</v>
      </c>
      <c r="AH321" s="194">
        <f t="shared" si="168"/>
        <v>19635</v>
      </c>
      <c r="AI321" s="194">
        <f t="shared" si="168"/>
        <v>16300</v>
      </c>
      <c r="AJ321" s="194">
        <f t="shared" si="168"/>
        <v>3335</v>
      </c>
      <c r="AK321" s="194">
        <f t="shared" si="168"/>
        <v>0</v>
      </c>
      <c r="AL321" s="194">
        <f t="shared" si="168"/>
        <v>5360</v>
      </c>
      <c r="AM321" s="194">
        <f t="shared" si="168"/>
        <v>2700</v>
      </c>
      <c r="AN321" s="194">
        <f t="shared" si="168"/>
        <v>2660</v>
      </c>
      <c r="AO321" s="194">
        <f t="shared" si="168"/>
        <v>0</v>
      </c>
      <c r="AP321" s="166"/>
      <c r="AQ321" s="166"/>
      <c r="AR321" s="3"/>
      <c r="AS321" s="3"/>
      <c r="AT321" s="3"/>
      <c r="AU321" s="3"/>
      <c r="AV321" s="3"/>
      <c r="AW321" s="3"/>
      <c r="AX321" s="3"/>
      <c r="AY321" s="3"/>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c r="IB321" s="4"/>
      <c r="IC321" s="4"/>
      <c r="ID321" s="4"/>
      <c r="IE321" s="4"/>
      <c r="IF321" s="4"/>
      <c r="IG321" s="4"/>
      <c r="IH321" s="4"/>
      <c r="II321" s="4"/>
      <c r="IJ321" s="4"/>
      <c r="IK321" s="4"/>
      <c r="IL321" s="4"/>
      <c r="IM321" s="4"/>
    </row>
    <row r="322" spans="1:247" s="4" customFormat="1" ht="39" customHeight="1" x14ac:dyDescent="0.3">
      <c r="A322" s="89">
        <v>1</v>
      </c>
      <c r="B322" s="123" t="s">
        <v>587</v>
      </c>
      <c r="C322" s="91" t="s">
        <v>588</v>
      </c>
      <c r="D322" s="145">
        <v>2021</v>
      </c>
      <c r="E322" s="146"/>
      <c r="F322" s="93" t="s">
        <v>589</v>
      </c>
      <c r="G322" s="97">
        <v>15000</v>
      </c>
      <c r="H322" s="97">
        <v>10000</v>
      </c>
      <c r="I322" s="97">
        <v>5000</v>
      </c>
      <c r="J322" s="97"/>
      <c r="K322" s="148">
        <v>14995</v>
      </c>
      <c r="L322" s="97">
        <f>M322+N322+O322</f>
        <v>11000</v>
      </c>
      <c r="M322" s="97">
        <v>8500</v>
      </c>
      <c r="N322" s="97">
        <v>2500</v>
      </c>
      <c r="O322" s="97"/>
      <c r="P322" s="97">
        <f>K322-L322</f>
        <v>3995</v>
      </c>
      <c r="Q322" s="97">
        <f>H322-M322</f>
        <v>1500</v>
      </c>
      <c r="R322" s="97">
        <f>P322-Q322</f>
        <v>2495</v>
      </c>
      <c r="S322" s="97">
        <v>0</v>
      </c>
      <c r="T322" s="148">
        <v>0</v>
      </c>
      <c r="U322" s="22"/>
      <c r="V322" s="22"/>
      <c r="W322" s="22">
        <v>0</v>
      </c>
      <c r="X322" s="22"/>
      <c r="Y322" s="22"/>
      <c r="Z322" s="22"/>
      <c r="AA322" s="22"/>
      <c r="AB322" s="97">
        <f>P322+T322-U322</f>
        <v>3995</v>
      </c>
      <c r="AC322" s="97">
        <f>Q322-V322-W322</f>
        <v>1500</v>
      </c>
      <c r="AD322" s="97">
        <f>R322-X322-Y322</f>
        <v>2495</v>
      </c>
      <c r="AE322" s="97"/>
      <c r="AF322" s="175"/>
      <c r="AG322" s="175">
        <v>14995</v>
      </c>
      <c r="AH322" s="191">
        <f>L322+U322</f>
        <v>11000</v>
      </c>
      <c r="AI322" s="191">
        <f>M322+V322+W322</f>
        <v>8500</v>
      </c>
      <c r="AJ322" s="191">
        <f>N322+X322+Y322</f>
        <v>2500</v>
      </c>
      <c r="AK322" s="191">
        <f>O322+Z322+AA322</f>
        <v>0</v>
      </c>
      <c r="AL322" s="191">
        <f>AG322-AH322</f>
        <v>3995</v>
      </c>
      <c r="AM322" s="175">
        <f>H322-AI322</f>
        <v>1500</v>
      </c>
      <c r="AN322" s="175">
        <f>AD322</f>
        <v>2495</v>
      </c>
      <c r="AO322" s="175"/>
      <c r="AP322" s="166"/>
      <c r="AQ322" s="166"/>
      <c r="AR322" s="3"/>
      <c r="AS322" s="3"/>
      <c r="AT322" s="3"/>
      <c r="AU322" s="3"/>
      <c r="AV322" s="3"/>
      <c r="AW322" s="3"/>
      <c r="AX322" s="3"/>
      <c r="AY322" s="3"/>
    </row>
    <row r="323" spans="1:247" s="4" customFormat="1" ht="39" customHeight="1" x14ac:dyDescent="0.3">
      <c r="A323" s="89">
        <v>2</v>
      </c>
      <c r="B323" s="123" t="s">
        <v>590</v>
      </c>
      <c r="C323" s="91" t="s">
        <v>588</v>
      </c>
      <c r="D323" s="145">
        <v>2021</v>
      </c>
      <c r="E323" s="146">
        <v>2023</v>
      </c>
      <c r="F323" s="93" t="s">
        <v>589</v>
      </c>
      <c r="G323" s="97">
        <v>10000</v>
      </c>
      <c r="H323" s="97">
        <v>9000</v>
      </c>
      <c r="I323" s="97">
        <v>1000</v>
      </c>
      <c r="J323" s="97"/>
      <c r="K323" s="148">
        <v>9000</v>
      </c>
      <c r="L323" s="97">
        <f>M323+N323+O323</f>
        <v>8500</v>
      </c>
      <c r="M323" s="97">
        <v>7800</v>
      </c>
      <c r="N323" s="97">
        <v>700</v>
      </c>
      <c r="O323" s="97"/>
      <c r="P323" s="97">
        <f>K323-L323</f>
        <v>500</v>
      </c>
      <c r="Q323" s="97">
        <f>P323-R323</f>
        <v>365</v>
      </c>
      <c r="R323" s="97">
        <v>135</v>
      </c>
      <c r="S323" s="97"/>
      <c r="T323" s="148">
        <v>0</v>
      </c>
      <c r="U323" s="22">
        <f t="shared" ref="U323:U332" si="169">V323+W323+X323+Y323+Z323+AA323</f>
        <v>135</v>
      </c>
      <c r="V323" s="22"/>
      <c r="W323" s="22"/>
      <c r="X323" s="22">
        <v>135</v>
      </c>
      <c r="Y323" s="22"/>
      <c r="Z323" s="22"/>
      <c r="AA323" s="22"/>
      <c r="AB323" s="97">
        <f>P323+T323-U323</f>
        <v>365</v>
      </c>
      <c r="AC323" s="97">
        <f>Q323-V323-W323</f>
        <v>365</v>
      </c>
      <c r="AD323" s="97">
        <f>R323-X323-Y323</f>
        <v>0</v>
      </c>
      <c r="AE323" s="97"/>
      <c r="AF323" s="175">
        <v>9000</v>
      </c>
      <c r="AG323" s="175"/>
      <c r="AH323" s="191">
        <f>L323+U323</f>
        <v>8635</v>
      </c>
      <c r="AI323" s="191">
        <f>M323+V323+W323</f>
        <v>7800</v>
      </c>
      <c r="AJ323" s="191">
        <f>N323+X323+Y323</f>
        <v>835</v>
      </c>
      <c r="AK323" s="191">
        <f>O323+Z323+AA323</f>
        <v>0</v>
      </c>
      <c r="AL323" s="191">
        <f>G323-AH323</f>
        <v>1365</v>
      </c>
      <c r="AM323" s="175">
        <f>H323-AI323</f>
        <v>1200</v>
      </c>
      <c r="AN323" s="175">
        <f>I323-AJ323</f>
        <v>165</v>
      </c>
      <c r="AO323" s="175"/>
      <c r="AP323" s="166"/>
      <c r="AQ323" s="166"/>
      <c r="AR323" s="3"/>
      <c r="AS323" s="3"/>
      <c r="AT323" s="3"/>
      <c r="AU323" s="3"/>
      <c r="AV323" s="3"/>
      <c r="AW323" s="3"/>
      <c r="AX323" s="3"/>
      <c r="AY323" s="3"/>
    </row>
    <row r="324" spans="1:247" ht="23.25" customHeight="1" x14ac:dyDescent="0.3">
      <c r="A324" s="73" t="s">
        <v>71</v>
      </c>
      <c r="B324" s="74" t="s">
        <v>43</v>
      </c>
      <c r="C324" s="75"/>
      <c r="D324" s="75"/>
      <c r="E324" s="75"/>
      <c r="F324" s="75"/>
      <c r="G324" s="76">
        <f>SUM(G325:G333)</f>
        <v>29552</v>
      </c>
      <c r="H324" s="76">
        <f t="shared" ref="H324:AO324" si="170">SUM(H325:H333)</f>
        <v>0</v>
      </c>
      <c r="I324" s="76">
        <f t="shared" si="170"/>
        <v>25200</v>
      </c>
      <c r="J324" s="76">
        <f t="shared" si="170"/>
        <v>4352</v>
      </c>
      <c r="K324" s="76">
        <f t="shared" si="170"/>
        <v>21802</v>
      </c>
      <c r="L324" s="76">
        <f t="shared" si="170"/>
        <v>12887</v>
      </c>
      <c r="M324" s="76">
        <f t="shared" si="170"/>
        <v>0</v>
      </c>
      <c r="N324" s="76">
        <f t="shared" si="170"/>
        <v>11880</v>
      </c>
      <c r="O324" s="76">
        <f t="shared" si="170"/>
        <v>1007</v>
      </c>
      <c r="P324" s="76">
        <f t="shared" si="170"/>
        <v>8915</v>
      </c>
      <c r="Q324" s="76">
        <f t="shared" si="170"/>
        <v>0</v>
      </c>
      <c r="R324" s="76">
        <f t="shared" si="170"/>
        <v>7072.121212121212</v>
      </c>
      <c r="S324" s="76">
        <f t="shared" si="170"/>
        <v>1842.8787878787878</v>
      </c>
      <c r="T324" s="76">
        <f t="shared" si="170"/>
        <v>0</v>
      </c>
      <c r="U324" s="76">
        <f t="shared" si="170"/>
        <v>1966</v>
      </c>
      <c r="V324" s="76">
        <f t="shared" si="170"/>
        <v>0</v>
      </c>
      <c r="W324" s="76">
        <f t="shared" si="170"/>
        <v>0</v>
      </c>
      <c r="X324" s="76">
        <f t="shared" si="170"/>
        <v>1966</v>
      </c>
      <c r="Y324" s="76">
        <f t="shared" si="170"/>
        <v>0</v>
      </c>
      <c r="Z324" s="76">
        <f t="shared" si="170"/>
        <v>0</v>
      </c>
      <c r="AA324" s="76">
        <f t="shared" si="170"/>
        <v>0</v>
      </c>
      <c r="AB324" s="76">
        <f t="shared" si="170"/>
        <v>6949</v>
      </c>
      <c r="AC324" s="76">
        <f t="shared" si="170"/>
        <v>0</v>
      </c>
      <c r="AD324" s="76">
        <f t="shared" si="170"/>
        <v>5106.121212121212</v>
      </c>
      <c r="AE324" s="76">
        <f t="shared" si="170"/>
        <v>1842.8787878787878</v>
      </c>
      <c r="AF324" s="194">
        <f t="shared" si="170"/>
        <v>14430</v>
      </c>
      <c r="AG324" s="194">
        <f t="shared" si="170"/>
        <v>7372</v>
      </c>
      <c r="AH324" s="194">
        <f t="shared" si="170"/>
        <v>14853</v>
      </c>
      <c r="AI324" s="194">
        <f t="shared" si="170"/>
        <v>0</v>
      </c>
      <c r="AJ324" s="194">
        <f t="shared" si="170"/>
        <v>13846</v>
      </c>
      <c r="AK324" s="194">
        <f t="shared" si="170"/>
        <v>1007</v>
      </c>
      <c r="AL324" s="194">
        <f t="shared" si="170"/>
        <v>14699</v>
      </c>
      <c r="AM324" s="194">
        <f t="shared" si="170"/>
        <v>0</v>
      </c>
      <c r="AN324" s="194">
        <f t="shared" si="170"/>
        <v>11354</v>
      </c>
      <c r="AO324" s="194">
        <f t="shared" si="170"/>
        <v>3345</v>
      </c>
      <c r="AP324" s="166"/>
      <c r="AQ324" s="166"/>
      <c r="AR324" s="3"/>
      <c r="AS324" s="3"/>
      <c r="AT324" s="3"/>
      <c r="AU324" s="3"/>
      <c r="AV324" s="3"/>
      <c r="AW324" s="3"/>
      <c r="AX324" s="3"/>
      <c r="AY324" s="3"/>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c r="IB324" s="4"/>
      <c r="IC324" s="4"/>
      <c r="ID324" s="4"/>
      <c r="IE324" s="4"/>
      <c r="IF324" s="4"/>
      <c r="IG324" s="4"/>
      <c r="IH324" s="4"/>
      <c r="II324" s="4"/>
      <c r="IJ324" s="4"/>
      <c r="IK324" s="4"/>
      <c r="IL324" s="4"/>
      <c r="IM324" s="4"/>
    </row>
    <row r="325" spans="1:247" s="4" customFormat="1" ht="39" customHeight="1" x14ac:dyDescent="0.3">
      <c r="A325" s="89">
        <v>1</v>
      </c>
      <c r="B325" s="123" t="s">
        <v>591</v>
      </c>
      <c r="C325" s="91" t="s">
        <v>588</v>
      </c>
      <c r="D325" s="145">
        <v>2021</v>
      </c>
      <c r="E325" s="146"/>
      <c r="F325" s="93" t="s">
        <v>592</v>
      </c>
      <c r="G325" s="97">
        <v>5500</v>
      </c>
      <c r="H325" s="97"/>
      <c r="I325" s="97">
        <v>5000</v>
      </c>
      <c r="J325" s="97">
        <v>500</v>
      </c>
      <c r="K325" s="148">
        <v>5000</v>
      </c>
      <c r="L325" s="97">
        <f t="shared" ref="L325:L333" si="171">M325+N325+O325</f>
        <v>4300</v>
      </c>
      <c r="M325" s="97"/>
      <c r="N325" s="97">
        <v>4100</v>
      </c>
      <c r="O325" s="97">
        <v>200</v>
      </c>
      <c r="P325" s="97">
        <f t="shared" ref="P325:P333" si="172">K325-L325</f>
        <v>700</v>
      </c>
      <c r="Q325" s="97"/>
      <c r="R325" s="97">
        <f>(K325*(I325/G325))-N325</f>
        <v>445.45454545454504</v>
      </c>
      <c r="S325" s="97">
        <f>K325*(J325/G325)-O325</f>
        <v>254.54545454545456</v>
      </c>
      <c r="T325" s="148">
        <v>0</v>
      </c>
      <c r="U325" s="22">
        <f t="shared" si="169"/>
        <v>405</v>
      </c>
      <c r="V325" s="22"/>
      <c r="W325" s="22"/>
      <c r="X325" s="22">
        <v>405</v>
      </c>
      <c r="Y325" s="22"/>
      <c r="Z325" s="22"/>
      <c r="AA325" s="22"/>
      <c r="AB325" s="97">
        <f t="shared" ref="AB325:AB333" si="173">P325+T325-U325</f>
        <v>295</v>
      </c>
      <c r="AC325" s="97"/>
      <c r="AD325" s="97">
        <f t="shared" ref="AD325:AD332" si="174">R325+(T325*(I325/G325))-(X325+Y325)</f>
        <v>40.454545454545041</v>
      </c>
      <c r="AE325" s="97">
        <f t="shared" ref="AE325:AE333" si="175">S325+(T325*(J325/G325))-(Z325+AA325)</f>
        <v>254.54545454545456</v>
      </c>
      <c r="AF325" s="175">
        <v>5000</v>
      </c>
      <c r="AG325" s="175"/>
      <c r="AH325" s="191">
        <f t="shared" ref="AH325:AH333" si="176">L325+U325</f>
        <v>4705</v>
      </c>
      <c r="AI325" s="191">
        <f t="shared" ref="AI325:AI333" si="177">M325+V325+W325</f>
        <v>0</v>
      </c>
      <c r="AJ325" s="191">
        <f t="shared" ref="AJ325:AJ333" si="178">N325+X325+Y325</f>
        <v>4505</v>
      </c>
      <c r="AK325" s="191">
        <f t="shared" ref="AK325:AK333" si="179">O325+Z325+AA325</f>
        <v>200</v>
      </c>
      <c r="AL325" s="191">
        <f>G325-AH325</f>
        <v>795</v>
      </c>
      <c r="AM325" s="175"/>
      <c r="AN325" s="175">
        <f>I325-AJ325</f>
        <v>495</v>
      </c>
      <c r="AO325" s="175">
        <f>J325-AK325</f>
        <v>300</v>
      </c>
      <c r="AP325" s="166"/>
      <c r="AQ325" s="166"/>
      <c r="AR325" s="3"/>
      <c r="AS325" s="3"/>
      <c r="AT325" s="3"/>
      <c r="AU325" s="3"/>
      <c r="AV325" s="3"/>
      <c r="AW325" s="3"/>
      <c r="AX325" s="3"/>
      <c r="AY325" s="3"/>
    </row>
    <row r="326" spans="1:247" s="4" customFormat="1" ht="39" customHeight="1" x14ac:dyDescent="0.3">
      <c r="A326" s="89">
        <v>2</v>
      </c>
      <c r="B326" s="123" t="s">
        <v>593</v>
      </c>
      <c r="C326" s="91" t="s">
        <v>588</v>
      </c>
      <c r="D326" s="145">
        <v>2021</v>
      </c>
      <c r="E326" s="146"/>
      <c r="F326" s="93" t="s">
        <v>592</v>
      </c>
      <c r="G326" s="97">
        <v>2372</v>
      </c>
      <c r="H326" s="97"/>
      <c r="I326" s="97">
        <v>2000</v>
      </c>
      <c r="J326" s="97">
        <v>372</v>
      </c>
      <c r="K326" s="148">
        <v>2372</v>
      </c>
      <c r="L326" s="97">
        <f t="shared" si="171"/>
        <v>1887</v>
      </c>
      <c r="M326" s="97"/>
      <c r="N326" s="97">
        <v>1580</v>
      </c>
      <c r="O326" s="97">
        <v>307</v>
      </c>
      <c r="P326" s="97">
        <f t="shared" si="172"/>
        <v>485</v>
      </c>
      <c r="Q326" s="97"/>
      <c r="R326" s="97">
        <f>(K326*(I326/G326))-N326</f>
        <v>420</v>
      </c>
      <c r="S326" s="97">
        <f>K326*(J326/G326)-O326</f>
        <v>65</v>
      </c>
      <c r="T326" s="148">
        <v>0</v>
      </c>
      <c r="U326" s="22">
        <f t="shared" si="169"/>
        <v>218</v>
      </c>
      <c r="V326" s="22"/>
      <c r="W326" s="22"/>
      <c r="X326" s="22">
        <v>218</v>
      </c>
      <c r="Y326" s="22"/>
      <c r="Z326" s="22"/>
      <c r="AA326" s="22"/>
      <c r="AB326" s="97">
        <f t="shared" si="173"/>
        <v>267</v>
      </c>
      <c r="AC326" s="97"/>
      <c r="AD326" s="97">
        <f t="shared" si="174"/>
        <v>202</v>
      </c>
      <c r="AE326" s="97">
        <f t="shared" si="175"/>
        <v>65</v>
      </c>
      <c r="AF326" s="175"/>
      <c r="AG326" s="175">
        <v>2372</v>
      </c>
      <c r="AH326" s="191">
        <f t="shared" si="176"/>
        <v>2105</v>
      </c>
      <c r="AI326" s="191">
        <f t="shared" si="177"/>
        <v>0</v>
      </c>
      <c r="AJ326" s="191">
        <f t="shared" si="178"/>
        <v>1798</v>
      </c>
      <c r="AK326" s="191">
        <f t="shared" si="179"/>
        <v>307</v>
      </c>
      <c r="AL326" s="191">
        <f>AG326-AH326</f>
        <v>267</v>
      </c>
      <c r="AM326" s="175"/>
      <c r="AN326" s="175">
        <v>202</v>
      </c>
      <c r="AO326" s="175">
        <f>J326-AK326</f>
        <v>65</v>
      </c>
      <c r="AP326" s="166"/>
      <c r="AQ326" s="166"/>
      <c r="AR326" s="3"/>
      <c r="AS326" s="3"/>
      <c r="AT326" s="3"/>
      <c r="AU326" s="3"/>
      <c r="AV326" s="3"/>
      <c r="AW326" s="3"/>
      <c r="AX326" s="3"/>
      <c r="AY326" s="3"/>
    </row>
    <row r="327" spans="1:247" s="4" customFormat="1" ht="39" customHeight="1" x14ac:dyDescent="0.3">
      <c r="A327" s="89">
        <v>3</v>
      </c>
      <c r="B327" s="123" t="s">
        <v>594</v>
      </c>
      <c r="C327" s="91" t="s">
        <v>588</v>
      </c>
      <c r="D327" s="145">
        <v>2022</v>
      </c>
      <c r="E327" s="146">
        <v>2025</v>
      </c>
      <c r="F327" s="93" t="s">
        <v>595</v>
      </c>
      <c r="G327" s="97">
        <v>3480</v>
      </c>
      <c r="H327" s="97"/>
      <c r="I327" s="97">
        <v>3000</v>
      </c>
      <c r="J327" s="97">
        <v>480</v>
      </c>
      <c r="K327" s="148">
        <v>3480</v>
      </c>
      <c r="L327" s="97">
        <f t="shared" si="171"/>
        <v>1550</v>
      </c>
      <c r="M327" s="97"/>
      <c r="N327" s="97">
        <v>1400</v>
      </c>
      <c r="O327" s="97">
        <v>150</v>
      </c>
      <c r="P327" s="97">
        <f t="shared" si="172"/>
        <v>1930</v>
      </c>
      <c r="Q327" s="97"/>
      <c r="R327" s="97">
        <f>(K327*(I327/G327))-N327</f>
        <v>1600</v>
      </c>
      <c r="S327" s="97">
        <f>K327*(J327/G327)-O327</f>
        <v>330</v>
      </c>
      <c r="T327" s="148">
        <v>0</v>
      </c>
      <c r="U327" s="22">
        <f t="shared" si="169"/>
        <v>315</v>
      </c>
      <c r="V327" s="22"/>
      <c r="W327" s="22"/>
      <c r="X327" s="22">
        <v>315</v>
      </c>
      <c r="Y327" s="22"/>
      <c r="Z327" s="22"/>
      <c r="AA327" s="22"/>
      <c r="AB327" s="97">
        <f t="shared" si="173"/>
        <v>1615</v>
      </c>
      <c r="AC327" s="97"/>
      <c r="AD327" s="97">
        <f t="shared" si="174"/>
        <v>1285</v>
      </c>
      <c r="AE327" s="97">
        <f t="shared" si="175"/>
        <v>330</v>
      </c>
      <c r="AF327" s="175">
        <v>3480</v>
      </c>
      <c r="AG327" s="175"/>
      <c r="AH327" s="191">
        <f t="shared" si="176"/>
        <v>1865</v>
      </c>
      <c r="AI327" s="191">
        <f t="shared" si="177"/>
        <v>0</v>
      </c>
      <c r="AJ327" s="191">
        <f t="shared" si="178"/>
        <v>1715</v>
      </c>
      <c r="AK327" s="191">
        <f t="shared" si="179"/>
        <v>150</v>
      </c>
      <c r="AL327" s="191">
        <f>G327-AH327</f>
        <v>1615</v>
      </c>
      <c r="AM327" s="175"/>
      <c r="AN327" s="175">
        <f>I327-AJ327</f>
        <v>1285</v>
      </c>
      <c r="AO327" s="175">
        <v>330</v>
      </c>
      <c r="AP327" s="166"/>
      <c r="AQ327" s="166"/>
      <c r="AR327" s="3"/>
      <c r="AS327" s="3"/>
      <c r="AT327" s="3"/>
      <c r="AU327" s="3"/>
      <c r="AV327" s="3"/>
      <c r="AW327" s="3"/>
      <c r="AX327" s="3"/>
      <c r="AY327" s="3"/>
    </row>
    <row r="328" spans="1:247" s="4" customFormat="1" ht="39" customHeight="1" x14ac:dyDescent="0.3">
      <c r="A328" s="89">
        <v>4</v>
      </c>
      <c r="B328" s="123" t="s">
        <v>596</v>
      </c>
      <c r="C328" s="91" t="s">
        <v>588</v>
      </c>
      <c r="D328" s="145">
        <v>2022</v>
      </c>
      <c r="E328" s="146">
        <v>2025</v>
      </c>
      <c r="F328" s="93" t="s">
        <v>595</v>
      </c>
      <c r="G328" s="97">
        <f>I328+J328</f>
        <v>5000</v>
      </c>
      <c r="H328" s="97"/>
      <c r="I328" s="97">
        <v>4500</v>
      </c>
      <c r="J328" s="97">
        <v>500</v>
      </c>
      <c r="K328" s="148">
        <v>5000</v>
      </c>
      <c r="L328" s="97">
        <f t="shared" si="171"/>
        <v>2550</v>
      </c>
      <c r="M328" s="97"/>
      <c r="N328" s="97">
        <v>2400</v>
      </c>
      <c r="O328" s="97">
        <v>150</v>
      </c>
      <c r="P328" s="97">
        <f t="shared" si="172"/>
        <v>2450</v>
      </c>
      <c r="Q328" s="97"/>
      <c r="R328" s="97">
        <f>(K328*(I328/G328))-N328</f>
        <v>2100</v>
      </c>
      <c r="S328" s="97">
        <f>K328*(J328/G328)-O328</f>
        <v>350</v>
      </c>
      <c r="T328" s="148">
        <v>0</v>
      </c>
      <c r="U328" s="22">
        <f t="shared" si="169"/>
        <v>338</v>
      </c>
      <c r="V328" s="22"/>
      <c r="W328" s="22"/>
      <c r="X328" s="22">
        <v>338</v>
      </c>
      <c r="Y328" s="22"/>
      <c r="Z328" s="22"/>
      <c r="AA328" s="22"/>
      <c r="AB328" s="97">
        <f t="shared" si="173"/>
        <v>2112</v>
      </c>
      <c r="AC328" s="97"/>
      <c r="AD328" s="97">
        <f t="shared" si="174"/>
        <v>1762</v>
      </c>
      <c r="AE328" s="97">
        <f t="shared" si="175"/>
        <v>350</v>
      </c>
      <c r="AF328" s="175"/>
      <c r="AG328" s="175">
        <v>5000</v>
      </c>
      <c r="AH328" s="191">
        <f t="shared" si="176"/>
        <v>2888</v>
      </c>
      <c r="AI328" s="191">
        <f t="shared" si="177"/>
        <v>0</v>
      </c>
      <c r="AJ328" s="191">
        <f t="shared" si="178"/>
        <v>2738</v>
      </c>
      <c r="AK328" s="191">
        <f t="shared" si="179"/>
        <v>150</v>
      </c>
      <c r="AL328" s="191">
        <f>AG328-AH328</f>
        <v>2112</v>
      </c>
      <c r="AM328" s="175"/>
      <c r="AN328" s="175">
        <v>1762</v>
      </c>
      <c r="AO328" s="175">
        <v>350</v>
      </c>
      <c r="AP328" s="166"/>
      <c r="AQ328" s="166"/>
      <c r="AR328" s="3"/>
      <c r="AS328" s="3"/>
      <c r="AT328" s="3"/>
      <c r="AU328" s="3"/>
      <c r="AV328" s="3"/>
      <c r="AW328" s="3"/>
      <c r="AX328" s="3"/>
      <c r="AY328" s="3"/>
    </row>
    <row r="329" spans="1:247" s="4" customFormat="1" ht="39" customHeight="1" x14ac:dyDescent="0.3">
      <c r="A329" s="89">
        <v>5</v>
      </c>
      <c r="B329" s="123" t="s">
        <v>597</v>
      </c>
      <c r="C329" s="91" t="s">
        <v>588</v>
      </c>
      <c r="D329" s="145">
        <v>2023</v>
      </c>
      <c r="E329" s="146">
        <v>2025</v>
      </c>
      <c r="F329" s="93" t="s">
        <v>598</v>
      </c>
      <c r="G329" s="97">
        <v>3000</v>
      </c>
      <c r="H329" s="97"/>
      <c r="I329" s="97">
        <v>2500</v>
      </c>
      <c r="J329" s="97">
        <v>500</v>
      </c>
      <c r="K329" s="148">
        <v>2000</v>
      </c>
      <c r="L329" s="97">
        <f t="shared" si="171"/>
        <v>500</v>
      </c>
      <c r="M329" s="97"/>
      <c r="N329" s="97">
        <v>500</v>
      </c>
      <c r="O329" s="97"/>
      <c r="P329" s="97">
        <f t="shared" si="172"/>
        <v>1500</v>
      </c>
      <c r="Q329" s="97"/>
      <c r="R329" s="97">
        <f>(K329*(I329/G329))-N329</f>
        <v>1166.6666666666667</v>
      </c>
      <c r="S329" s="97">
        <f>K329*(J329/G329)-O329</f>
        <v>333.33333333333331</v>
      </c>
      <c r="T329" s="148">
        <v>0</v>
      </c>
      <c r="U329" s="22">
        <f t="shared" si="169"/>
        <v>500</v>
      </c>
      <c r="V329" s="22"/>
      <c r="W329" s="22"/>
      <c r="X329" s="22">
        <v>500</v>
      </c>
      <c r="Y329" s="22"/>
      <c r="Z329" s="22"/>
      <c r="AA329" s="22"/>
      <c r="AB329" s="97">
        <f t="shared" si="173"/>
        <v>1000</v>
      </c>
      <c r="AC329" s="97"/>
      <c r="AD329" s="97">
        <f t="shared" si="174"/>
        <v>666.66666666666674</v>
      </c>
      <c r="AE329" s="97">
        <f t="shared" si="175"/>
        <v>333.33333333333331</v>
      </c>
      <c r="AF329" s="175">
        <v>2000</v>
      </c>
      <c r="AG329" s="175"/>
      <c r="AH329" s="191">
        <f t="shared" si="176"/>
        <v>1000</v>
      </c>
      <c r="AI329" s="191">
        <f t="shared" si="177"/>
        <v>0</v>
      </c>
      <c r="AJ329" s="191">
        <f t="shared" si="178"/>
        <v>1000</v>
      </c>
      <c r="AK329" s="191">
        <f t="shared" si="179"/>
        <v>0</v>
      </c>
      <c r="AL329" s="191">
        <f>G329-AH329</f>
        <v>2000</v>
      </c>
      <c r="AM329" s="175"/>
      <c r="AN329" s="175">
        <f t="shared" ref="AN329:AO333" si="180">I329-AJ329</f>
        <v>1500</v>
      </c>
      <c r="AO329" s="175">
        <f t="shared" si="180"/>
        <v>500</v>
      </c>
      <c r="AP329" s="166"/>
      <c r="AQ329" s="166"/>
      <c r="AR329" s="3"/>
      <c r="AS329" s="3"/>
      <c r="AT329" s="3"/>
      <c r="AU329" s="3"/>
      <c r="AV329" s="3"/>
      <c r="AW329" s="3"/>
      <c r="AX329" s="3"/>
      <c r="AY329" s="3"/>
    </row>
    <row r="330" spans="1:247" s="4" customFormat="1" ht="39" customHeight="1" x14ac:dyDescent="0.3">
      <c r="A330" s="89">
        <v>6</v>
      </c>
      <c r="B330" s="123" t="s">
        <v>599</v>
      </c>
      <c r="C330" s="91" t="s">
        <v>588</v>
      </c>
      <c r="D330" s="145">
        <v>2023</v>
      </c>
      <c r="E330" s="146">
        <v>2025</v>
      </c>
      <c r="F330" s="93" t="s">
        <v>598</v>
      </c>
      <c r="G330" s="97">
        <v>4500</v>
      </c>
      <c r="H330" s="97"/>
      <c r="I330" s="97">
        <v>4000</v>
      </c>
      <c r="J330" s="97">
        <v>500</v>
      </c>
      <c r="K330" s="148">
        <v>1500</v>
      </c>
      <c r="L330" s="97">
        <f t="shared" si="171"/>
        <v>700</v>
      </c>
      <c r="M330" s="97"/>
      <c r="N330" s="97">
        <v>500</v>
      </c>
      <c r="O330" s="97">
        <v>200</v>
      </c>
      <c r="P330" s="97">
        <f t="shared" si="172"/>
        <v>800</v>
      </c>
      <c r="Q330" s="97"/>
      <c r="R330" s="97">
        <v>800</v>
      </c>
      <c r="S330" s="97"/>
      <c r="T330" s="148">
        <v>0</v>
      </c>
      <c r="U330" s="22">
        <f t="shared" si="169"/>
        <v>50</v>
      </c>
      <c r="V330" s="22"/>
      <c r="W330" s="22"/>
      <c r="X330" s="22">
        <v>50</v>
      </c>
      <c r="Y330" s="22"/>
      <c r="Z330" s="22"/>
      <c r="AA330" s="22"/>
      <c r="AB330" s="97">
        <f t="shared" si="173"/>
        <v>750</v>
      </c>
      <c r="AC330" s="97"/>
      <c r="AD330" s="97">
        <f t="shared" si="174"/>
        <v>750</v>
      </c>
      <c r="AE330" s="97">
        <f t="shared" si="175"/>
        <v>0</v>
      </c>
      <c r="AF330" s="175">
        <v>1500</v>
      </c>
      <c r="AG330" s="175"/>
      <c r="AH330" s="191">
        <f t="shared" si="176"/>
        <v>750</v>
      </c>
      <c r="AI330" s="191">
        <f t="shared" si="177"/>
        <v>0</v>
      </c>
      <c r="AJ330" s="191">
        <f t="shared" si="178"/>
        <v>550</v>
      </c>
      <c r="AK330" s="191">
        <f t="shared" si="179"/>
        <v>200</v>
      </c>
      <c r="AL330" s="191">
        <f>G330-AH330</f>
        <v>3750</v>
      </c>
      <c r="AM330" s="175"/>
      <c r="AN330" s="175">
        <f t="shared" si="180"/>
        <v>3450</v>
      </c>
      <c r="AO330" s="175">
        <f t="shared" si="180"/>
        <v>300</v>
      </c>
      <c r="AP330" s="166"/>
      <c r="AQ330" s="166"/>
      <c r="AR330" s="3"/>
      <c r="AS330" s="3"/>
      <c r="AT330" s="3"/>
      <c r="AU330" s="3"/>
      <c r="AV330" s="3"/>
      <c r="AW330" s="3"/>
      <c r="AX330" s="3"/>
      <c r="AY330" s="3"/>
    </row>
    <row r="331" spans="1:247" s="4" customFormat="1" ht="39" customHeight="1" x14ac:dyDescent="0.3">
      <c r="A331" s="89">
        <v>7</v>
      </c>
      <c r="B331" s="123" t="s">
        <v>600</v>
      </c>
      <c r="C331" s="91" t="s">
        <v>588</v>
      </c>
      <c r="D331" s="145">
        <v>2023</v>
      </c>
      <c r="E331" s="146">
        <v>2025</v>
      </c>
      <c r="F331" s="93" t="s">
        <v>601</v>
      </c>
      <c r="G331" s="97">
        <v>2000</v>
      </c>
      <c r="H331" s="97"/>
      <c r="I331" s="97">
        <v>1500</v>
      </c>
      <c r="J331" s="97">
        <v>500</v>
      </c>
      <c r="K331" s="148">
        <v>1000</v>
      </c>
      <c r="L331" s="97">
        <f t="shared" si="171"/>
        <v>500</v>
      </c>
      <c r="M331" s="97"/>
      <c r="N331" s="97">
        <v>500</v>
      </c>
      <c r="O331" s="97"/>
      <c r="P331" s="97">
        <f t="shared" si="172"/>
        <v>500</v>
      </c>
      <c r="Q331" s="97"/>
      <c r="R331" s="97">
        <f>(K331*(I331/G331))-N331</f>
        <v>250</v>
      </c>
      <c r="S331" s="97">
        <f>K331*(J331/G331)-O331</f>
        <v>250</v>
      </c>
      <c r="T331" s="148">
        <v>0</v>
      </c>
      <c r="U331" s="22">
        <f t="shared" si="169"/>
        <v>50</v>
      </c>
      <c r="V331" s="22"/>
      <c r="W331" s="22"/>
      <c r="X331" s="22">
        <v>50</v>
      </c>
      <c r="Y331" s="22"/>
      <c r="Z331" s="22"/>
      <c r="AA331" s="22"/>
      <c r="AB331" s="97">
        <f t="shared" si="173"/>
        <v>450</v>
      </c>
      <c r="AC331" s="97"/>
      <c r="AD331" s="97">
        <f t="shared" si="174"/>
        <v>200</v>
      </c>
      <c r="AE331" s="97">
        <f t="shared" si="175"/>
        <v>250</v>
      </c>
      <c r="AF331" s="175">
        <v>1000</v>
      </c>
      <c r="AG331" s="175"/>
      <c r="AH331" s="191">
        <f t="shared" si="176"/>
        <v>550</v>
      </c>
      <c r="AI331" s="191">
        <f t="shared" si="177"/>
        <v>0</v>
      </c>
      <c r="AJ331" s="191">
        <f t="shared" si="178"/>
        <v>550</v>
      </c>
      <c r="AK331" s="191">
        <f t="shared" si="179"/>
        <v>0</v>
      </c>
      <c r="AL331" s="191">
        <f>G331-AH331</f>
        <v>1450</v>
      </c>
      <c r="AM331" s="175"/>
      <c r="AN331" s="175">
        <f t="shared" si="180"/>
        <v>950</v>
      </c>
      <c r="AO331" s="175">
        <f t="shared" si="180"/>
        <v>500</v>
      </c>
      <c r="AP331" s="166"/>
      <c r="AQ331" s="166"/>
      <c r="AR331" s="3"/>
      <c r="AS331" s="3"/>
      <c r="AT331" s="3"/>
      <c r="AU331" s="3"/>
      <c r="AV331" s="3"/>
      <c r="AW331" s="3"/>
      <c r="AX331" s="3"/>
      <c r="AY331" s="3"/>
    </row>
    <row r="332" spans="1:247" s="4" customFormat="1" ht="39" customHeight="1" x14ac:dyDescent="0.3">
      <c r="A332" s="89">
        <v>8</v>
      </c>
      <c r="B332" s="123" t="s">
        <v>602</v>
      </c>
      <c r="C332" s="91" t="s">
        <v>588</v>
      </c>
      <c r="D332" s="145">
        <v>2023</v>
      </c>
      <c r="E332" s="146">
        <v>2025</v>
      </c>
      <c r="F332" s="93" t="s">
        <v>603</v>
      </c>
      <c r="G332" s="97">
        <v>2000</v>
      </c>
      <c r="H332" s="97"/>
      <c r="I332" s="97">
        <v>1500</v>
      </c>
      <c r="J332" s="97">
        <v>500</v>
      </c>
      <c r="K332" s="148">
        <v>1000</v>
      </c>
      <c r="L332" s="97">
        <f t="shared" si="171"/>
        <v>500</v>
      </c>
      <c r="M332" s="97"/>
      <c r="N332" s="97">
        <v>500</v>
      </c>
      <c r="O332" s="97"/>
      <c r="P332" s="97">
        <f t="shared" si="172"/>
        <v>500</v>
      </c>
      <c r="Q332" s="97"/>
      <c r="R332" s="97">
        <f>(K332*(I332/G332))-N332</f>
        <v>250</v>
      </c>
      <c r="S332" s="97">
        <f>K332*(J332/G332)-O332</f>
        <v>250</v>
      </c>
      <c r="T332" s="148">
        <v>0</v>
      </c>
      <c r="U332" s="22">
        <f t="shared" si="169"/>
        <v>50</v>
      </c>
      <c r="V332" s="22"/>
      <c r="W332" s="22"/>
      <c r="X332" s="22">
        <v>50</v>
      </c>
      <c r="Y332" s="22"/>
      <c r="Z332" s="22"/>
      <c r="AA332" s="22"/>
      <c r="AB332" s="97">
        <f t="shared" si="173"/>
        <v>450</v>
      </c>
      <c r="AC332" s="97"/>
      <c r="AD332" s="97">
        <f t="shared" si="174"/>
        <v>200</v>
      </c>
      <c r="AE332" s="97">
        <f t="shared" si="175"/>
        <v>250</v>
      </c>
      <c r="AF332" s="175">
        <v>1000</v>
      </c>
      <c r="AG332" s="175"/>
      <c r="AH332" s="191">
        <f t="shared" si="176"/>
        <v>550</v>
      </c>
      <c r="AI332" s="191">
        <f t="shared" si="177"/>
        <v>0</v>
      </c>
      <c r="AJ332" s="191">
        <f t="shared" si="178"/>
        <v>550</v>
      </c>
      <c r="AK332" s="191">
        <f t="shared" si="179"/>
        <v>0</v>
      </c>
      <c r="AL332" s="191">
        <f>G332-AH332</f>
        <v>1450</v>
      </c>
      <c r="AM332" s="175"/>
      <c r="AN332" s="175">
        <f t="shared" si="180"/>
        <v>950</v>
      </c>
      <c r="AO332" s="175">
        <f t="shared" si="180"/>
        <v>500</v>
      </c>
      <c r="AP332" s="166"/>
      <c r="AQ332" s="166"/>
      <c r="AR332" s="3"/>
      <c r="AS332" s="3"/>
      <c r="AT332" s="3"/>
      <c r="AU332" s="3"/>
      <c r="AV332" s="3"/>
      <c r="AW332" s="3"/>
      <c r="AX332" s="3"/>
      <c r="AY332" s="3"/>
    </row>
    <row r="333" spans="1:247" s="4" customFormat="1" ht="39" customHeight="1" x14ac:dyDescent="0.3">
      <c r="A333" s="89">
        <v>9</v>
      </c>
      <c r="B333" s="123" t="s">
        <v>604</v>
      </c>
      <c r="C333" s="91" t="s">
        <v>588</v>
      </c>
      <c r="D333" s="145">
        <v>2023</v>
      </c>
      <c r="E333" s="146">
        <v>2025</v>
      </c>
      <c r="F333" s="93" t="s">
        <v>598</v>
      </c>
      <c r="G333" s="97">
        <v>1700</v>
      </c>
      <c r="H333" s="97"/>
      <c r="I333" s="97">
        <v>1200</v>
      </c>
      <c r="J333" s="97">
        <v>500</v>
      </c>
      <c r="K333" s="148">
        <v>450</v>
      </c>
      <c r="L333" s="97">
        <f t="shared" si="171"/>
        <v>400</v>
      </c>
      <c r="M333" s="97"/>
      <c r="N333" s="97">
        <v>400</v>
      </c>
      <c r="O333" s="97"/>
      <c r="P333" s="97">
        <f t="shared" si="172"/>
        <v>50</v>
      </c>
      <c r="Q333" s="97"/>
      <c r="R333" s="97">
        <v>40</v>
      </c>
      <c r="S333" s="97">
        <v>10</v>
      </c>
      <c r="T333" s="148">
        <v>0</v>
      </c>
      <c r="U333" s="22">
        <v>40</v>
      </c>
      <c r="V333" s="22"/>
      <c r="W333" s="22"/>
      <c r="X333" s="22">
        <v>40</v>
      </c>
      <c r="Y333" s="22"/>
      <c r="Z333" s="22"/>
      <c r="AA333" s="22"/>
      <c r="AB333" s="97">
        <f t="shared" si="173"/>
        <v>10</v>
      </c>
      <c r="AC333" s="97"/>
      <c r="AD333" s="97">
        <f>R333-U333</f>
        <v>0</v>
      </c>
      <c r="AE333" s="97">
        <f t="shared" si="175"/>
        <v>10</v>
      </c>
      <c r="AF333" s="175">
        <v>450</v>
      </c>
      <c r="AG333" s="175"/>
      <c r="AH333" s="191">
        <f t="shared" si="176"/>
        <v>440</v>
      </c>
      <c r="AI333" s="191">
        <f t="shared" si="177"/>
        <v>0</v>
      </c>
      <c r="AJ333" s="191">
        <f t="shared" si="178"/>
        <v>440</v>
      </c>
      <c r="AK333" s="191">
        <f t="shared" si="179"/>
        <v>0</v>
      </c>
      <c r="AL333" s="191">
        <f>G333-AH333</f>
        <v>1260</v>
      </c>
      <c r="AM333" s="175"/>
      <c r="AN333" s="175">
        <f t="shared" si="180"/>
        <v>760</v>
      </c>
      <c r="AO333" s="175">
        <f t="shared" si="180"/>
        <v>500</v>
      </c>
      <c r="AP333" s="166"/>
      <c r="AQ333" s="166"/>
      <c r="AR333" s="3"/>
      <c r="AS333" s="3"/>
      <c r="AT333" s="3"/>
      <c r="AU333" s="3"/>
      <c r="AV333" s="3"/>
      <c r="AW333" s="3"/>
      <c r="AX333" s="3"/>
      <c r="AY333" s="3"/>
    </row>
    <row r="334" spans="1:247" ht="27" customHeight="1" x14ac:dyDescent="0.3">
      <c r="A334" s="149" t="s">
        <v>71</v>
      </c>
      <c r="B334" s="150" t="s">
        <v>353</v>
      </c>
      <c r="C334" s="151"/>
      <c r="D334" s="152"/>
      <c r="E334" s="152"/>
      <c r="F334" s="153"/>
      <c r="G334" s="21">
        <f>G335</f>
        <v>1200</v>
      </c>
      <c r="H334" s="21">
        <f t="shared" ref="H334:AO334" si="181">H335</f>
        <v>800</v>
      </c>
      <c r="I334" s="21">
        <f t="shared" si="181"/>
        <v>300</v>
      </c>
      <c r="J334" s="21">
        <f t="shared" si="181"/>
        <v>100</v>
      </c>
      <c r="K334" s="21">
        <f t="shared" si="181"/>
        <v>1100</v>
      </c>
      <c r="L334" s="21">
        <f t="shared" si="181"/>
        <v>500</v>
      </c>
      <c r="M334" s="21">
        <f t="shared" si="181"/>
        <v>300</v>
      </c>
      <c r="N334" s="21">
        <f t="shared" si="181"/>
        <v>200</v>
      </c>
      <c r="O334" s="21">
        <f t="shared" si="181"/>
        <v>0</v>
      </c>
      <c r="P334" s="21">
        <f t="shared" si="181"/>
        <v>600</v>
      </c>
      <c r="Q334" s="21">
        <f t="shared" si="181"/>
        <v>500</v>
      </c>
      <c r="R334" s="21">
        <f t="shared" si="181"/>
        <v>75</v>
      </c>
      <c r="S334" s="21">
        <f t="shared" si="181"/>
        <v>25</v>
      </c>
      <c r="T334" s="21">
        <f t="shared" si="181"/>
        <v>0</v>
      </c>
      <c r="U334" s="21">
        <f t="shared" si="181"/>
        <v>200</v>
      </c>
      <c r="V334" s="21">
        <f t="shared" si="181"/>
        <v>200</v>
      </c>
      <c r="W334" s="21">
        <f t="shared" si="181"/>
        <v>0</v>
      </c>
      <c r="X334" s="21">
        <f t="shared" si="181"/>
        <v>0</v>
      </c>
      <c r="Y334" s="21">
        <f t="shared" si="181"/>
        <v>0</v>
      </c>
      <c r="Z334" s="21">
        <f t="shared" si="181"/>
        <v>0</v>
      </c>
      <c r="AA334" s="21">
        <f t="shared" si="181"/>
        <v>0</v>
      </c>
      <c r="AB334" s="21">
        <f t="shared" si="181"/>
        <v>400</v>
      </c>
      <c r="AC334" s="21">
        <f t="shared" si="181"/>
        <v>300</v>
      </c>
      <c r="AD334" s="21">
        <f t="shared" si="181"/>
        <v>75</v>
      </c>
      <c r="AE334" s="21">
        <f t="shared" si="181"/>
        <v>25</v>
      </c>
      <c r="AF334" s="173">
        <f t="shared" si="181"/>
        <v>0</v>
      </c>
      <c r="AG334" s="173">
        <f t="shared" si="181"/>
        <v>1100</v>
      </c>
      <c r="AH334" s="173">
        <f t="shared" si="181"/>
        <v>700</v>
      </c>
      <c r="AI334" s="173">
        <f t="shared" si="181"/>
        <v>500</v>
      </c>
      <c r="AJ334" s="173">
        <f t="shared" si="181"/>
        <v>200</v>
      </c>
      <c r="AK334" s="173">
        <f t="shared" si="181"/>
        <v>0</v>
      </c>
      <c r="AL334" s="173">
        <f t="shared" si="181"/>
        <v>400</v>
      </c>
      <c r="AM334" s="173">
        <f t="shared" si="181"/>
        <v>300</v>
      </c>
      <c r="AN334" s="173">
        <f t="shared" si="181"/>
        <v>75</v>
      </c>
      <c r="AO334" s="173">
        <f t="shared" si="181"/>
        <v>25</v>
      </c>
      <c r="AP334" s="166"/>
      <c r="AQ334" s="166"/>
      <c r="AR334" s="3"/>
      <c r="AS334" s="3"/>
      <c r="AT334" s="3"/>
      <c r="AU334" s="3"/>
      <c r="AV334" s="3"/>
      <c r="AW334" s="3"/>
      <c r="AX334" s="3"/>
      <c r="AY334" s="3"/>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c r="IB334" s="4"/>
      <c r="IC334" s="4"/>
      <c r="ID334" s="4"/>
      <c r="IE334" s="4"/>
      <c r="IF334" s="4"/>
      <c r="IG334" s="4"/>
      <c r="IH334" s="4"/>
      <c r="II334" s="4"/>
      <c r="IJ334" s="4"/>
      <c r="IK334" s="4"/>
      <c r="IL334" s="4"/>
      <c r="IM334" s="4"/>
    </row>
    <row r="335" spans="1:247" s="4" customFormat="1" ht="57.75" customHeight="1" x14ac:dyDescent="0.3">
      <c r="A335" s="89">
        <v>1</v>
      </c>
      <c r="B335" s="123" t="s">
        <v>605</v>
      </c>
      <c r="C335" s="91" t="s">
        <v>588</v>
      </c>
      <c r="D335" s="145">
        <v>2022</v>
      </c>
      <c r="E335" s="146">
        <v>2024</v>
      </c>
      <c r="F335" s="93" t="s">
        <v>606</v>
      </c>
      <c r="G335" s="97">
        <v>1200</v>
      </c>
      <c r="H335" s="97">
        <v>800</v>
      </c>
      <c r="I335" s="97">
        <v>300</v>
      </c>
      <c r="J335" s="97">
        <v>100</v>
      </c>
      <c r="K335" s="148">
        <v>1100</v>
      </c>
      <c r="L335" s="97">
        <f>M335+N335+O335</f>
        <v>500</v>
      </c>
      <c r="M335" s="97">
        <v>300</v>
      </c>
      <c r="N335" s="97">
        <v>200</v>
      </c>
      <c r="O335" s="97"/>
      <c r="P335" s="97">
        <f>K335-L335</f>
        <v>600</v>
      </c>
      <c r="Q335" s="97">
        <f>H335-M335</f>
        <v>500</v>
      </c>
      <c r="R335" s="97">
        <f>(K335*(I335/G335))-N335</f>
        <v>75</v>
      </c>
      <c r="S335" s="97">
        <f>P335-Q335-R335</f>
        <v>25</v>
      </c>
      <c r="T335" s="148">
        <v>0</v>
      </c>
      <c r="U335" s="22">
        <v>200</v>
      </c>
      <c r="V335" s="22">
        <v>200</v>
      </c>
      <c r="W335" s="22"/>
      <c r="X335" s="22"/>
      <c r="Y335" s="22"/>
      <c r="Z335" s="22"/>
      <c r="AA335" s="22"/>
      <c r="AB335" s="97">
        <f>P335+T335-U335</f>
        <v>400</v>
      </c>
      <c r="AC335" s="97">
        <f>Q335-V335</f>
        <v>300</v>
      </c>
      <c r="AD335" s="97">
        <v>75</v>
      </c>
      <c r="AE335" s="97">
        <f>S335+(T335*(J335/G335))-(Z335+AA335)</f>
        <v>25</v>
      </c>
      <c r="AF335" s="175"/>
      <c r="AG335" s="175">
        <v>1100</v>
      </c>
      <c r="AH335" s="191">
        <f>L335+U335</f>
        <v>700</v>
      </c>
      <c r="AI335" s="191">
        <f>M335+V335+W335</f>
        <v>500</v>
      </c>
      <c r="AJ335" s="191">
        <f>N335+X335+Y335</f>
        <v>200</v>
      </c>
      <c r="AK335" s="191">
        <f>O335+Z335+AA335</f>
        <v>0</v>
      </c>
      <c r="AL335" s="191">
        <f>AG335-AH335</f>
        <v>400</v>
      </c>
      <c r="AM335" s="175">
        <v>300</v>
      </c>
      <c r="AN335" s="175">
        <v>75</v>
      </c>
      <c r="AO335" s="175">
        <v>25</v>
      </c>
      <c r="AP335" s="166"/>
      <c r="AQ335" s="166"/>
      <c r="AR335" s="3"/>
      <c r="AS335" s="3"/>
      <c r="AT335" s="3"/>
      <c r="AU335" s="3"/>
      <c r="AV335" s="3"/>
      <c r="AW335" s="3"/>
      <c r="AX335" s="3"/>
      <c r="AY335" s="3"/>
    </row>
    <row r="336" spans="1:247" ht="18" customHeight="1" x14ac:dyDescent="0.3">
      <c r="A336" s="16">
        <v>15</v>
      </c>
      <c r="B336" s="20" t="s">
        <v>607</v>
      </c>
      <c r="C336" s="20"/>
      <c r="D336" s="20"/>
      <c r="E336" s="20"/>
      <c r="F336" s="20"/>
      <c r="G336" s="21">
        <f>G337</f>
        <v>44868</v>
      </c>
      <c r="H336" s="21">
        <f t="shared" ref="H336:AO336" si="182">H337</f>
        <v>0</v>
      </c>
      <c r="I336" s="21">
        <f t="shared" si="182"/>
        <v>37682</v>
      </c>
      <c r="J336" s="21">
        <f t="shared" si="182"/>
        <v>7186</v>
      </c>
      <c r="K336" s="21">
        <f t="shared" si="182"/>
        <v>22681</v>
      </c>
      <c r="L336" s="21">
        <f t="shared" si="182"/>
        <v>11773</v>
      </c>
      <c r="M336" s="21">
        <f t="shared" si="182"/>
        <v>0</v>
      </c>
      <c r="N336" s="21">
        <f t="shared" si="182"/>
        <v>11773</v>
      </c>
      <c r="O336" s="21">
        <f t="shared" si="182"/>
        <v>0</v>
      </c>
      <c r="P336" s="21">
        <f t="shared" si="182"/>
        <v>11908</v>
      </c>
      <c r="Q336" s="21">
        <f t="shared" si="182"/>
        <v>0</v>
      </c>
      <c r="R336" s="21">
        <f t="shared" si="182"/>
        <v>8041.1338074498772</v>
      </c>
      <c r="S336" s="21">
        <f t="shared" si="182"/>
        <v>3866.8661925501224</v>
      </c>
      <c r="T336" s="21">
        <f t="shared" si="182"/>
        <v>4661</v>
      </c>
      <c r="U336" s="21">
        <f t="shared" si="182"/>
        <v>5450</v>
      </c>
      <c r="V336" s="21">
        <f t="shared" si="182"/>
        <v>0</v>
      </c>
      <c r="W336" s="21">
        <f t="shared" si="182"/>
        <v>0</v>
      </c>
      <c r="X336" s="21">
        <f t="shared" si="182"/>
        <v>3400</v>
      </c>
      <c r="Y336" s="21">
        <f t="shared" si="182"/>
        <v>2050</v>
      </c>
      <c r="Z336" s="21">
        <f t="shared" si="182"/>
        <v>0</v>
      </c>
      <c r="AA336" s="21">
        <f t="shared" si="182"/>
        <v>0</v>
      </c>
      <c r="AB336" s="21">
        <f t="shared" si="182"/>
        <v>10167</v>
      </c>
      <c r="AC336" s="21">
        <f t="shared" si="182"/>
        <v>0</v>
      </c>
      <c r="AD336" s="21">
        <f t="shared" si="182"/>
        <v>6009.9338074498773</v>
      </c>
      <c r="AE336" s="21">
        <f t="shared" si="182"/>
        <v>4157.0661925501227</v>
      </c>
      <c r="AF336" s="173">
        <f t="shared" si="182"/>
        <v>14505</v>
      </c>
      <c r="AG336" s="173">
        <f t="shared" si="182"/>
        <v>12837</v>
      </c>
      <c r="AH336" s="173">
        <f t="shared" si="182"/>
        <v>17223</v>
      </c>
      <c r="AI336" s="173">
        <f t="shared" si="182"/>
        <v>0</v>
      </c>
      <c r="AJ336" s="173">
        <f t="shared" si="182"/>
        <v>17223</v>
      </c>
      <c r="AK336" s="173">
        <f t="shared" si="182"/>
        <v>0</v>
      </c>
      <c r="AL336" s="173">
        <f t="shared" si="182"/>
        <v>27277</v>
      </c>
      <c r="AM336" s="173">
        <f t="shared" si="182"/>
        <v>0</v>
      </c>
      <c r="AN336" s="173">
        <f t="shared" si="182"/>
        <v>20162</v>
      </c>
      <c r="AO336" s="173">
        <f t="shared" si="182"/>
        <v>7115</v>
      </c>
      <c r="AP336" s="166"/>
      <c r="AQ336" s="166"/>
      <c r="AR336" s="3"/>
      <c r="AS336" s="3"/>
      <c r="AT336" s="3"/>
      <c r="AU336" s="3"/>
      <c r="AV336" s="3"/>
      <c r="AW336" s="3"/>
      <c r="AX336" s="3"/>
      <c r="AY336" s="3"/>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c r="IB336" s="4"/>
      <c r="IC336" s="4"/>
      <c r="ID336" s="4"/>
      <c r="IE336" s="4"/>
      <c r="IF336" s="4"/>
      <c r="IG336" s="4"/>
      <c r="IH336" s="4"/>
      <c r="II336" s="4"/>
      <c r="IJ336" s="4"/>
      <c r="IK336" s="4"/>
      <c r="IL336" s="4"/>
      <c r="IM336" s="4"/>
    </row>
    <row r="337" spans="1:247" ht="19.95" customHeight="1" x14ac:dyDescent="0.3">
      <c r="A337" s="154" t="s">
        <v>42</v>
      </c>
      <c r="B337" s="155" t="s">
        <v>43</v>
      </c>
      <c r="C337" s="156"/>
      <c r="D337" s="157"/>
      <c r="E337" s="157"/>
      <c r="F337" s="157"/>
      <c r="G337" s="87">
        <f>SUM(G338:G349)</f>
        <v>44868</v>
      </c>
      <c r="H337" s="87">
        <f t="shared" ref="H337:AO337" si="183">SUM(H338:H349)</f>
        <v>0</v>
      </c>
      <c r="I337" s="87">
        <f t="shared" si="183"/>
        <v>37682</v>
      </c>
      <c r="J337" s="87">
        <f t="shared" si="183"/>
        <v>7186</v>
      </c>
      <c r="K337" s="87">
        <f t="shared" si="183"/>
        <v>22681</v>
      </c>
      <c r="L337" s="87">
        <f t="shared" si="183"/>
        <v>11773</v>
      </c>
      <c r="M337" s="87">
        <f t="shared" si="183"/>
        <v>0</v>
      </c>
      <c r="N337" s="87">
        <f t="shared" si="183"/>
        <v>11773</v>
      </c>
      <c r="O337" s="87">
        <f t="shared" si="183"/>
        <v>0</v>
      </c>
      <c r="P337" s="87">
        <f t="shared" si="183"/>
        <v>11908</v>
      </c>
      <c r="Q337" s="87">
        <f t="shared" si="183"/>
        <v>0</v>
      </c>
      <c r="R337" s="87">
        <f t="shared" si="183"/>
        <v>8041.1338074498772</v>
      </c>
      <c r="S337" s="87">
        <f t="shared" si="183"/>
        <v>3866.8661925501224</v>
      </c>
      <c r="T337" s="87">
        <f t="shared" si="183"/>
        <v>4661</v>
      </c>
      <c r="U337" s="87">
        <f t="shared" si="183"/>
        <v>5450</v>
      </c>
      <c r="V337" s="87">
        <f t="shared" si="183"/>
        <v>0</v>
      </c>
      <c r="W337" s="87">
        <f t="shared" si="183"/>
        <v>0</v>
      </c>
      <c r="X337" s="87">
        <f t="shared" si="183"/>
        <v>3400</v>
      </c>
      <c r="Y337" s="87">
        <f t="shared" si="183"/>
        <v>2050</v>
      </c>
      <c r="Z337" s="87">
        <f t="shared" si="183"/>
        <v>0</v>
      </c>
      <c r="AA337" s="87">
        <f t="shared" si="183"/>
        <v>0</v>
      </c>
      <c r="AB337" s="87">
        <f t="shared" si="183"/>
        <v>10167</v>
      </c>
      <c r="AC337" s="87">
        <f t="shared" si="183"/>
        <v>0</v>
      </c>
      <c r="AD337" s="87">
        <f t="shared" si="183"/>
        <v>6009.9338074498773</v>
      </c>
      <c r="AE337" s="87">
        <f t="shared" si="183"/>
        <v>4157.0661925501227</v>
      </c>
      <c r="AF337" s="174">
        <f t="shared" si="183"/>
        <v>14505</v>
      </c>
      <c r="AG337" s="174">
        <f t="shared" si="183"/>
        <v>12837</v>
      </c>
      <c r="AH337" s="174">
        <f t="shared" si="183"/>
        <v>17223</v>
      </c>
      <c r="AI337" s="174">
        <f t="shared" si="183"/>
        <v>0</v>
      </c>
      <c r="AJ337" s="174">
        <f t="shared" si="183"/>
        <v>17223</v>
      </c>
      <c r="AK337" s="174">
        <f t="shared" si="183"/>
        <v>0</v>
      </c>
      <c r="AL337" s="174">
        <f t="shared" si="183"/>
        <v>27277</v>
      </c>
      <c r="AM337" s="174">
        <f t="shared" si="183"/>
        <v>0</v>
      </c>
      <c r="AN337" s="174">
        <f t="shared" si="183"/>
        <v>20162</v>
      </c>
      <c r="AO337" s="174">
        <f t="shared" si="183"/>
        <v>7115</v>
      </c>
      <c r="AP337" s="166"/>
      <c r="AQ337" s="166"/>
      <c r="AR337" s="3"/>
      <c r="AS337" s="3"/>
      <c r="AT337" s="3"/>
      <c r="AU337" s="3"/>
      <c r="AV337" s="3"/>
      <c r="AW337" s="3"/>
      <c r="AX337" s="3"/>
      <c r="AY337" s="3"/>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c r="IB337" s="4"/>
      <c r="IC337" s="4"/>
      <c r="ID337" s="4"/>
      <c r="IE337" s="4"/>
      <c r="IF337" s="4"/>
      <c r="IG337" s="4"/>
      <c r="IH337" s="4"/>
      <c r="II337" s="4"/>
      <c r="IJ337" s="4"/>
      <c r="IK337" s="4"/>
      <c r="IL337" s="4"/>
      <c r="IM337" s="4"/>
    </row>
    <row r="338" spans="1:247" s="4" customFormat="1" ht="39" customHeight="1" x14ac:dyDescent="0.3">
      <c r="A338" s="89">
        <v>1</v>
      </c>
      <c r="B338" s="123" t="s">
        <v>608</v>
      </c>
      <c r="C338" s="91" t="s">
        <v>609</v>
      </c>
      <c r="D338" s="145">
        <v>2021</v>
      </c>
      <c r="E338" s="146">
        <v>2023</v>
      </c>
      <c r="F338" s="93" t="s">
        <v>610</v>
      </c>
      <c r="G338" s="97">
        <f t="shared" ref="G338:G349" si="184">H338+I338+J338</f>
        <v>800</v>
      </c>
      <c r="H338" s="97"/>
      <c r="I338" s="97">
        <v>800</v>
      </c>
      <c r="J338" s="97"/>
      <c r="K338" s="148">
        <v>800</v>
      </c>
      <c r="L338" s="97">
        <f t="shared" ref="L338:L349" si="185">M338+N338+O338</f>
        <v>620</v>
      </c>
      <c r="M338" s="97"/>
      <c r="N338" s="97">
        <v>620</v>
      </c>
      <c r="O338" s="97"/>
      <c r="P338" s="97">
        <f t="shared" ref="P338:P345" si="186">K338-L338</f>
        <v>180</v>
      </c>
      <c r="Q338" s="97"/>
      <c r="R338" s="97">
        <v>180</v>
      </c>
      <c r="S338" s="97"/>
      <c r="T338" s="148"/>
      <c r="U338" s="22">
        <f t="shared" ref="U338:U349" si="187">V338+W338+X338+Y338+Z338+AA338</f>
        <v>80</v>
      </c>
      <c r="V338" s="22"/>
      <c r="W338" s="22"/>
      <c r="X338" s="22">
        <v>80</v>
      </c>
      <c r="Y338" s="22"/>
      <c r="Z338" s="22"/>
      <c r="AA338" s="22"/>
      <c r="AB338" s="97">
        <f t="shared" ref="AB338:AB345" si="188">P338+T338-U338</f>
        <v>100</v>
      </c>
      <c r="AC338" s="97"/>
      <c r="AD338" s="97">
        <f>R338-X338</f>
        <v>100</v>
      </c>
      <c r="AE338" s="97">
        <f t="shared" ref="AE338:AE347" si="189">S338-AA338</f>
        <v>0</v>
      </c>
      <c r="AF338" s="175"/>
      <c r="AG338" s="175">
        <f t="shared" ref="AG338:AG349" si="190">K338</f>
        <v>800</v>
      </c>
      <c r="AH338" s="191">
        <f t="shared" ref="AH338:AH349" si="191">L338+U338</f>
        <v>700</v>
      </c>
      <c r="AI338" s="191">
        <f t="shared" ref="AI338:AI349" si="192">M338+V338+W338</f>
        <v>0</v>
      </c>
      <c r="AJ338" s="191">
        <f t="shared" ref="AJ338:AJ349" si="193">N338+X338+Y338</f>
        <v>700</v>
      </c>
      <c r="AK338" s="191">
        <f t="shared" ref="AK338:AK349" si="194">O338+Z338+AA338</f>
        <v>0</v>
      </c>
      <c r="AL338" s="191">
        <f t="shared" ref="AL338" si="195">AM338+AN338+AO338</f>
        <v>100</v>
      </c>
      <c r="AM338" s="175"/>
      <c r="AN338" s="175">
        <f t="shared" ref="AN338:AO347" si="196">I338-AJ338</f>
        <v>100</v>
      </c>
      <c r="AO338" s="175">
        <f t="shared" si="196"/>
        <v>0</v>
      </c>
      <c r="AP338" s="166"/>
      <c r="AQ338" s="166"/>
      <c r="AR338" s="3"/>
      <c r="AS338" s="3"/>
      <c r="AT338" s="3"/>
      <c r="AU338" s="3"/>
      <c r="AV338" s="3"/>
      <c r="AW338" s="3"/>
      <c r="AX338" s="3"/>
      <c r="AY338" s="3"/>
    </row>
    <row r="339" spans="1:247" s="4" customFormat="1" ht="39" customHeight="1" x14ac:dyDescent="0.3">
      <c r="A339" s="89">
        <v>2</v>
      </c>
      <c r="B339" s="123" t="s">
        <v>611</v>
      </c>
      <c r="C339" s="91" t="s">
        <v>609</v>
      </c>
      <c r="D339" s="145">
        <v>2021</v>
      </c>
      <c r="E339" s="146">
        <v>2023</v>
      </c>
      <c r="F339" s="93" t="s">
        <v>612</v>
      </c>
      <c r="G339" s="97">
        <f t="shared" si="184"/>
        <v>1040</v>
      </c>
      <c r="H339" s="97"/>
      <c r="I339" s="97">
        <v>1000</v>
      </c>
      <c r="J339" s="97">
        <v>40</v>
      </c>
      <c r="K339" s="148">
        <v>1040</v>
      </c>
      <c r="L339" s="97">
        <f t="shared" si="185"/>
        <v>760</v>
      </c>
      <c r="M339" s="97"/>
      <c r="N339" s="97">
        <v>760</v>
      </c>
      <c r="O339" s="97"/>
      <c r="P339" s="97">
        <f t="shared" si="186"/>
        <v>280</v>
      </c>
      <c r="Q339" s="97"/>
      <c r="R339" s="97">
        <v>240</v>
      </c>
      <c r="S339" s="97">
        <v>40</v>
      </c>
      <c r="T339" s="148"/>
      <c r="U339" s="22">
        <f t="shared" si="187"/>
        <v>108</v>
      </c>
      <c r="V339" s="22"/>
      <c r="W339" s="22"/>
      <c r="X339" s="22">
        <v>108</v>
      </c>
      <c r="Y339" s="22"/>
      <c r="Z339" s="22"/>
      <c r="AA339" s="22"/>
      <c r="AB339" s="97">
        <f t="shared" si="188"/>
        <v>172</v>
      </c>
      <c r="AC339" s="97"/>
      <c r="AD339" s="97">
        <f t="shared" ref="AD339:AD347" si="197">R339-X339</f>
        <v>132</v>
      </c>
      <c r="AE339" s="97">
        <f t="shared" si="189"/>
        <v>40</v>
      </c>
      <c r="AF339" s="175"/>
      <c r="AG339" s="175">
        <f t="shared" si="190"/>
        <v>1040</v>
      </c>
      <c r="AH339" s="191">
        <f t="shared" si="191"/>
        <v>868</v>
      </c>
      <c r="AI339" s="191">
        <f t="shared" si="192"/>
        <v>0</v>
      </c>
      <c r="AJ339" s="191">
        <f t="shared" si="193"/>
        <v>868</v>
      </c>
      <c r="AK339" s="191">
        <f t="shared" si="194"/>
        <v>0</v>
      </c>
      <c r="AL339" s="191">
        <f>AG339-AH339</f>
        <v>172</v>
      </c>
      <c r="AM339" s="175"/>
      <c r="AN339" s="175">
        <f t="shared" si="196"/>
        <v>132</v>
      </c>
      <c r="AO339" s="175">
        <f t="shared" si="196"/>
        <v>40</v>
      </c>
      <c r="AP339" s="166"/>
      <c r="AQ339" s="166"/>
      <c r="AR339" s="3"/>
      <c r="AS339" s="3"/>
      <c r="AT339" s="3"/>
      <c r="AU339" s="3"/>
      <c r="AV339" s="3"/>
      <c r="AW339" s="3"/>
      <c r="AX339" s="3"/>
      <c r="AY339" s="3"/>
    </row>
    <row r="340" spans="1:247" s="4" customFormat="1" ht="39" customHeight="1" x14ac:dyDescent="0.3">
      <c r="A340" s="89">
        <v>3</v>
      </c>
      <c r="B340" s="123" t="s">
        <v>613</v>
      </c>
      <c r="C340" s="91" t="s">
        <v>609</v>
      </c>
      <c r="D340" s="145">
        <v>2021</v>
      </c>
      <c r="E340" s="146">
        <v>2023</v>
      </c>
      <c r="F340" s="93" t="s">
        <v>614</v>
      </c>
      <c r="G340" s="97">
        <f t="shared" si="184"/>
        <v>882</v>
      </c>
      <c r="H340" s="97"/>
      <c r="I340" s="97">
        <v>882</v>
      </c>
      <c r="J340" s="97"/>
      <c r="K340" s="148">
        <v>882</v>
      </c>
      <c r="L340" s="97">
        <f t="shared" si="185"/>
        <v>713</v>
      </c>
      <c r="M340" s="97"/>
      <c r="N340" s="97">
        <v>713</v>
      </c>
      <c r="O340" s="97"/>
      <c r="P340" s="97">
        <f t="shared" si="186"/>
        <v>169</v>
      </c>
      <c r="Q340" s="97"/>
      <c r="R340" s="97">
        <v>169</v>
      </c>
      <c r="S340" s="97"/>
      <c r="T340" s="148"/>
      <c r="U340" s="22">
        <f t="shared" si="187"/>
        <v>76</v>
      </c>
      <c r="V340" s="22"/>
      <c r="W340" s="22"/>
      <c r="X340" s="22">
        <v>76</v>
      </c>
      <c r="Y340" s="22"/>
      <c r="Z340" s="22"/>
      <c r="AA340" s="22"/>
      <c r="AB340" s="97">
        <f t="shared" si="188"/>
        <v>93</v>
      </c>
      <c r="AC340" s="97"/>
      <c r="AD340" s="97">
        <f t="shared" si="197"/>
        <v>93</v>
      </c>
      <c r="AE340" s="97">
        <f t="shared" si="189"/>
        <v>0</v>
      </c>
      <c r="AF340" s="175"/>
      <c r="AG340" s="175">
        <f t="shared" si="190"/>
        <v>882</v>
      </c>
      <c r="AH340" s="191">
        <f t="shared" si="191"/>
        <v>789</v>
      </c>
      <c r="AI340" s="191">
        <f t="shared" si="192"/>
        <v>0</v>
      </c>
      <c r="AJ340" s="191">
        <f t="shared" si="193"/>
        <v>789</v>
      </c>
      <c r="AK340" s="191">
        <f t="shared" si="194"/>
        <v>0</v>
      </c>
      <c r="AL340" s="191">
        <f>AG340-AH340</f>
        <v>93</v>
      </c>
      <c r="AM340" s="175"/>
      <c r="AN340" s="175">
        <f t="shared" si="196"/>
        <v>93</v>
      </c>
      <c r="AO340" s="175">
        <f t="shared" si="196"/>
        <v>0</v>
      </c>
      <c r="AP340" s="166"/>
      <c r="AQ340" s="166"/>
      <c r="AR340" s="3"/>
      <c r="AS340" s="3"/>
      <c r="AT340" s="3"/>
      <c r="AU340" s="3"/>
      <c r="AV340" s="3"/>
      <c r="AW340" s="3"/>
      <c r="AX340" s="3"/>
      <c r="AY340" s="3"/>
    </row>
    <row r="341" spans="1:247" s="4" customFormat="1" ht="59.25" customHeight="1" x14ac:dyDescent="0.3">
      <c r="A341" s="89">
        <v>4</v>
      </c>
      <c r="B341" s="123" t="s">
        <v>615</v>
      </c>
      <c r="C341" s="91" t="s">
        <v>609</v>
      </c>
      <c r="D341" s="145">
        <v>2022</v>
      </c>
      <c r="E341" s="146">
        <v>2024</v>
      </c>
      <c r="F341" s="93" t="s">
        <v>616</v>
      </c>
      <c r="G341" s="97">
        <f t="shared" si="184"/>
        <v>4983</v>
      </c>
      <c r="H341" s="97"/>
      <c r="I341" s="97">
        <v>4000</v>
      </c>
      <c r="J341" s="97">
        <v>983</v>
      </c>
      <c r="K341" s="148">
        <v>4973</v>
      </c>
      <c r="L341" s="97">
        <f t="shared" si="185"/>
        <v>900</v>
      </c>
      <c r="M341" s="97"/>
      <c r="N341" s="97">
        <v>900</v>
      </c>
      <c r="O341" s="97"/>
      <c r="P341" s="97">
        <f t="shared" si="186"/>
        <v>4073</v>
      </c>
      <c r="Q341" s="97"/>
      <c r="R341" s="97">
        <v>3100</v>
      </c>
      <c r="S341" s="97">
        <f>P341-R341</f>
        <v>973</v>
      </c>
      <c r="T341" s="148"/>
      <c r="U341" s="22">
        <f t="shared" si="187"/>
        <v>383</v>
      </c>
      <c r="V341" s="22"/>
      <c r="W341" s="22"/>
      <c r="X341" s="22">
        <v>383</v>
      </c>
      <c r="Y341" s="22"/>
      <c r="Z341" s="22"/>
      <c r="AA341" s="22"/>
      <c r="AB341" s="97">
        <f t="shared" si="188"/>
        <v>3690</v>
      </c>
      <c r="AC341" s="97"/>
      <c r="AD341" s="97">
        <f t="shared" si="197"/>
        <v>2717</v>
      </c>
      <c r="AE341" s="97">
        <f t="shared" si="189"/>
        <v>973</v>
      </c>
      <c r="AF341" s="175"/>
      <c r="AG341" s="175">
        <f t="shared" si="190"/>
        <v>4973</v>
      </c>
      <c r="AH341" s="191">
        <f t="shared" si="191"/>
        <v>1283</v>
      </c>
      <c r="AI341" s="191">
        <f t="shared" si="192"/>
        <v>0</v>
      </c>
      <c r="AJ341" s="191">
        <f t="shared" si="193"/>
        <v>1283</v>
      </c>
      <c r="AK341" s="191">
        <f t="shared" si="194"/>
        <v>0</v>
      </c>
      <c r="AL341" s="191">
        <f>AG341-AH341</f>
        <v>3690</v>
      </c>
      <c r="AM341" s="175"/>
      <c r="AN341" s="175">
        <f>I341-AJ341</f>
        <v>2717</v>
      </c>
      <c r="AO341" s="175">
        <f>AL341-AN341</f>
        <v>973</v>
      </c>
      <c r="AP341" s="166"/>
      <c r="AQ341" s="166"/>
      <c r="AR341" s="3"/>
      <c r="AS341" s="3"/>
      <c r="AT341" s="3"/>
      <c r="AU341" s="3"/>
      <c r="AV341" s="3"/>
      <c r="AW341" s="3"/>
      <c r="AX341" s="3"/>
      <c r="AY341" s="3"/>
    </row>
    <row r="342" spans="1:247" s="4" customFormat="1" ht="59.25" customHeight="1" x14ac:dyDescent="0.3">
      <c r="A342" s="89">
        <v>5</v>
      </c>
      <c r="B342" s="123" t="s">
        <v>617</v>
      </c>
      <c r="C342" s="91" t="s">
        <v>609</v>
      </c>
      <c r="D342" s="145">
        <v>2022</v>
      </c>
      <c r="E342" s="146">
        <v>2024</v>
      </c>
      <c r="F342" s="93" t="s">
        <v>618</v>
      </c>
      <c r="G342" s="97">
        <f t="shared" si="184"/>
        <v>4947</v>
      </c>
      <c r="H342" s="97"/>
      <c r="I342" s="97">
        <v>4000</v>
      </c>
      <c r="J342" s="97">
        <v>947</v>
      </c>
      <c r="K342" s="148">
        <v>2627</v>
      </c>
      <c r="L342" s="97">
        <f t="shared" si="185"/>
        <v>1400</v>
      </c>
      <c r="M342" s="97"/>
      <c r="N342" s="97">
        <v>1400</v>
      </c>
      <c r="O342" s="97"/>
      <c r="P342" s="163">
        <f t="shared" si="186"/>
        <v>1227</v>
      </c>
      <c r="Q342" s="163"/>
      <c r="R342" s="163">
        <f>(K342*(I342/G342))-N342</f>
        <v>724.11562563169582</v>
      </c>
      <c r="S342" s="163">
        <f>K342*(J342/G342)-O342</f>
        <v>502.88437436830407</v>
      </c>
      <c r="T342" s="148"/>
      <c r="U342" s="22">
        <f t="shared" si="187"/>
        <v>580</v>
      </c>
      <c r="V342" s="22"/>
      <c r="W342" s="22"/>
      <c r="X342" s="22">
        <v>580</v>
      </c>
      <c r="Y342" s="22"/>
      <c r="Z342" s="22"/>
      <c r="AA342" s="22"/>
      <c r="AB342" s="164">
        <f t="shared" si="188"/>
        <v>647</v>
      </c>
      <c r="AC342" s="164"/>
      <c r="AD342" s="164">
        <f>R342+(T342*(I342/G342))-(X342+Y342)</f>
        <v>144.11562563169582</v>
      </c>
      <c r="AE342" s="164">
        <f>S342+(T342*(J342/G342))-(Z342+AA342)</f>
        <v>502.88437436830407</v>
      </c>
      <c r="AF342" s="175">
        <v>2627</v>
      </c>
      <c r="AG342" s="175"/>
      <c r="AH342" s="191">
        <f t="shared" si="191"/>
        <v>1980</v>
      </c>
      <c r="AI342" s="191">
        <f t="shared" si="192"/>
        <v>0</v>
      </c>
      <c r="AJ342" s="191">
        <f t="shared" si="193"/>
        <v>1980</v>
      </c>
      <c r="AK342" s="191">
        <f t="shared" si="194"/>
        <v>0</v>
      </c>
      <c r="AL342" s="191">
        <f>G342-AH342</f>
        <v>2967</v>
      </c>
      <c r="AM342" s="175"/>
      <c r="AN342" s="175">
        <f>I342-AJ342</f>
        <v>2020</v>
      </c>
      <c r="AO342" s="175">
        <f t="shared" si="196"/>
        <v>947</v>
      </c>
      <c r="AP342" s="166"/>
      <c r="AQ342" s="166"/>
      <c r="AR342" s="3"/>
      <c r="AS342" s="3"/>
      <c r="AT342" s="3"/>
      <c r="AU342" s="3"/>
      <c r="AV342" s="3"/>
      <c r="AW342" s="3"/>
      <c r="AX342" s="3"/>
      <c r="AY342" s="3"/>
    </row>
    <row r="343" spans="1:247" s="4" customFormat="1" ht="59.25" customHeight="1" x14ac:dyDescent="0.3">
      <c r="A343" s="89">
        <v>6</v>
      </c>
      <c r="B343" s="123" t="s">
        <v>619</v>
      </c>
      <c r="C343" s="91" t="s">
        <v>609</v>
      </c>
      <c r="D343" s="145">
        <v>2022</v>
      </c>
      <c r="E343" s="146">
        <v>2024</v>
      </c>
      <c r="F343" s="93" t="s">
        <v>620</v>
      </c>
      <c r="G343" s="97">
        <f t="shared" si="184"/>
        <v>5500</v>
      </c>
      <c r="H343" s="97"/>
      <c r="I343" s="97">
        <v>4000</v>
      </c>
      <c r="J343" s="97">
        <v>1500</v>
      </c>
      <c r="K343" s="148">
        <v>4914</v>
      </c>
      <c r="L343" s="97">
        <f t="shared" si="185"/>
        <v>1400</v>
      </c>
      <c r="M343" s="97"/>
      <c r="N343" s="97">
        <v>1400</v>
      </c>
      <c r="O343" s="97"/>
      <c r="P343" s="163">
        <f t="shared" si="186"/>
        <v>3514</v>
      </c>
      <c r="Q343" s="163"/>
      <c r="R343" s="163">
        <f>(K343*(I343/G343))-N343</f>
        <v>2173.818181818182</v>
      </c>
      <c r="S343" s="163">
        <f>K343*(J343/G343)-O343</f>
        <v>1340.181818181818</v>
      </c>
      <c r="T343" s="148"/>
      <c r="U343" s="22">
        <f t="shared" si="187"/>
        <v>690</v>
      </c>
      <c r="V343" s="22"/>
      <c r="W343" s="22"/>
      <c r="X343" s="22">
        <v>690</v>
      </c>
      <c r="Y343" s="22"/>
      <c r="Z343" s="22"/>
      <c r="AA343" s="22"/>
      <c r="AB343" s="164">
        <f t="shared" si="188"/>
        <v>2824</v>
      </c>
      <c r="AC343" s="164"/>
      <c r="AD343" s="164">
        <f>R343+(T343*(I343/G343))-(X343+Y343)</f>
        <v>1483.818181818182</v>
      </c>
      <c r="AE343" s="164">
        <f>S343+(T343*(J343/G343))-(Z343+AA343)</f>
        <v>1340.181818181818</v>
      </c>
      <c r="AF343" s="175">
        <v>4914</v>
      </c>
      <c r="AG343" s="175"/>
      <c r="AH343" s="191">
        <f t="shared" si="191"/>
        <v>2090</v>
      </c>
      <c r="AI343" s="191">
        <f t="shared" si="192"/>
        <v>0</v>
      </c>
      <c r="AJ343" s="191">
        <f t="shared" si="193"/>
        <v>2090</v>
      </c>
      <c r="AK343" s="191">
        <f t="shared" si="194"/>
        <v>0</v>
      </c>
      <c r="AL343" s="191">
        <f>G343-AH343</f>
        <v>3410</v>
      </c>
      <c r="AM343" s="175"/>
      <c r="AN343" s="175">
        <f>I343-AJ343</f>
        <v>1910</v>
      </c>
      <c r="AO343" s="175">
        <f t="shared" si="196"/>
        <v>1500</v>
      </c>
      <c r="AP343" s="166"/>
      <c r="AQ343" s="166"/>
      <c r="AR343" s="3"/>
      <c r="AS343" s="3"/>
      <c r="AT343" s="3"/>
      <c r="AU343" s="3"/>
      <c r="AV343" s="3"/>
      <c r="AW343" s="3"/>
      <c r="AX343" s="3"/>
      <c r="AY343" s="3"/>
    </row>
    <row r="344" spans="1:247" s="4" customFormat="1" ht="59.25" customHeight="1" x14ac:dyDescent="0.3">
      <c r="A344" s="89">
        <v>7</v>
      </c>
      <c r="B344" s="123" t="s">
        <v>621</v>
      </c>
      <c r="C344" s="91" t="s">
        <v>609</v>
      </c>
      <c r="D344" s="145">
        <v>2022</v>
      </c>
      <c r="E344" s="146">
        <v>2024</v>
      </c>
      <c r="F344" s="93" t="s">
        <v>622</v>
      </c>
      <c r="G344" s="97">
        <f t="shared" si="184"/>
        <v>2500</v>
      </c>
      <c r="H344" s="97"/>
      <c r="I344" s="97">
        <v>2000</v>
      </c>
      <c r="J344" s="97">
        <v>500</v>
      </c>
      <c r="K344" s="148">
        <v>1999</v>
      </c>
      <c r="L344" s="97">
        <f t="shared" si="185"/>
        <v>780</v>
      </c>
      <c r="M344" s="97"/>
      <c r="N344" s="97">
        <v>780</v>
      </c>
      <c r="O344" s="97"/>
      <c r="P344" s="97">
        <f t="shared" si="186"/>
        <v>1219</v>
      </c>
      <c r="Q344" s="97"/>
      <c r="R344" s="97">
        <f>(K344*(I344/G344))-N344</f>
        <v>819.2</v>
      </c>
      <c r="S344" s="97">
        <f>K344*(J344/G344)-O344</f>
        <v>399.8</v>
      </c>
      <c r="T344" s="148">
        <v>461</v>
      </c>
      <c r="U344" s="22">
        <f t="shared" si="187"/>
        <v>225</v>
      </c>
      <c r="V344" s="22"/>
      <c r="W344" s="22"/>
      <c r="X344" s="22">
        <v>225</v>
      </c>
      <c r="Y344" s="22"/>
      <c r="Z344" s="22"/>
      <c r="AA344" s="22"/>
      <c r="AB344" s="97">
        <f t="shared" si="188"/>
        <v>1455</v>
      </c>
      <c r="AC344" s="97"/>
      <c r="AD344" s="97">
        <f>R344+(T344*(I344/G344))-(X344+Y344)</f>
        <v>963</v>
      </c>
      <c r="AE344" s="97">
        <f>S344+(T344*(J344/G344))-(Z344+AA344)</f>
        <v>492</v>
      </c>
      <c r="AF344" s="175"/>
      <c r="AG344" s="175">
        <f>K344+T344</f>
        <v>2460</v>
      </c>
      <c r="AH344" s="191">
        <f t="shared" si="191"/>
        <v>1005</v>
      </c>
      <c r="AI344" s="191">
        <f t="shared" si="192"/>
        <v>0</v>
      </c>
      <c r="AJ344" s="191">
        <f t="shared" si="193"/>
        <v>1005</v>
      </c>
      <c r="AK344" s="191">
        <f t="shared" si="194"/>
        <v>0</v>
      </c>
      <c r="AL344" s="191">
        <f>AG344-AH344</f>
        <v>1455</v>
      </c>
      <c r="AM344" s="175">
        <f>H344-AI344</f>
        <v>0</v>
      </c>
      <c r="AN344" s="175">
        <f>AG344*(I344/G344)-AJ344</f>
        <v>963</v>
      </c>
      <c r="AO344" s="175">
        <f>AG344*(J344/G344)-AK344</f>
        <v>492</v>
      </c>
      <c r="AP344" s="166"/>
      <c r="AQ344" s="166"/>
      <c r="AR344" s="3"/>
      <c r="AS344" s="3"/>
      <c r="AT344" s="3"/>
      <c r="AU344" s="3"/>
      <c r="AV344" s="3"/>
      <c r="AW344" s="3"/>
      <c r="AX344" s="3"/>
      <c r="AY344" s="3"/>
    </row>
    <row r="345" spans="1:247" s="4" customFormat="1" ht="59.25" customHeight="1" x14ac:dyDescent="0.3">
      <c r="A345" s="89">
        <v>8</v>
      </c>
      <c r="B345" s="123" t="s">
        <v>623</v>
      </c>
      <c r="C345" s="91" t="s">
        <v>609</v>
      </c>
      <c r="D345" s="145">
        <v>2021</v>
      </c>
      <c r="E345" s="146">
        <v>2023</v>
      </c>
      <c r="F345" s="93" t="s">
        <v>624</v>
      </c>
      <c r="G345" s="97">
        <f t="shared" si="184"/>
        <v>3000</v>
      </c>
      <c r="H345" s="97"/>
      <c r="I345" s="97">
        <v>2500</v>
      </c>
      <c r="J345" s="97">
        <v>500</v>
      </c>
      <c r="K345" s="148">
        <v>2682</v>
      </c>
      <c r="L345" s="97">
        <f t="shared" si="185"/>
        <v>1700</v>
      </c>
      <c r="M345" s="97"/>
      <c r="N345" s="97">
        <v>1700</v>
      </c>
      <c r="O345" s="97"/>
      <c r="P345" s="97">
        <f t="shared" si="186"/>
        <v>982</v>
      </c>
      <c r="Q345" s="97"/>
      <c r="R345" s="97">
        <f>(K345*(I345/G345))-N345</f>
        <v>535</v>
      </c>
      <c r="S345" s="97">
        <f>K345*(J345/G345)-O345</f>
        <v>447</v>
      </c>
      <c r="T345" s="148"/>
      <c r="U345" s="22">
        <f>V345+W345+X345+Y345+Z345+AA345</f>
        <v>158</v>
      </c>
      <c r="V345" s="22"/>
      <c r="W345" s="22"/>
      <c r="X345" s="22">
        <v>158</v>
      </c>
      <c r="Y345" s="22"/>
      <c r="Z345" s="22"/>
      <c r="AA345" s="22"/>
      <c r="AB345" s="97">
        <f t="shared" si="188"/>
        <v>824</v>
      </c>
      <c r="AC345" s="97"/>
      <c r="AD345" s="97">
        <f>R345+(T345*(I345/G345))-(X345+Y345)</f>
        <v>377</v>
      </c>
      <c r="AE345" s="97">
        <f>S345+(T345*(J345/G345))-(Z345+AA345)</f>
        <v>447</v>
      </c>
      <c r="AF345" s="175"/>
      <c r="AG345" s="175">
        <f t="shared" si="190"/>
        <v>2682</v>
      </c>
      <c r="AH345" s="191">
        <f t="shared" si="191"/>
        <v>1858</v>
      </c>
      <c r="AI345" s="191">
        <f t="shared" si="192"/>
        <v>0</v>
      </c>
      <c r="AJ345" s="191">
        <f t="shared" si="193"/>
        <v>1858</v>
      </c>
      <c r="AK345" s="191">
        <f t="shared" si="194"/>
        <v>0</v>
      </c>
      <c r="AL345" s="191">
        <f>AG345-AH345</f>
        <v>824</v>
      </c>
      <c r="AM345" s="175">
        <f>H345-AI345</f>
        <v>0</v>
      </c>
      <c r="AN345" s="175">
        <f>AG345*(I345/G345)-AJ345</f>
        <v>377</v>
      </c>
      <c r="AO345" s="175">
        <f>AG345*(J345/G345)-AK345</f>
        <v>447</v>
      </c>
      <c r="AP345" s="166"/>
      <c r="AQ345" s="166"/>
      <c r="AR345" s="3"/>
      <c r="AS345" s="3"/>
      <c r="AT345" s="3"/>
      <c r="AU345" s="3"/>
      <c r="AV345" s="3"/>
      <c r="AW345" s="3"/>
      <c r="AX345" s="3"/>
      <c r="AY345" s="3"/>
    </row>
    <row r="346" spans="1:247" s="4" customFormat="1" ht="110.25" customHeight="1" x14ac:dyDescent="0.3">
      <c r="A346" s="89">
        <v>9</v>
      </c>
      <c r="B346" s="123" t="s">
        <v>625</v>
      </c>
      <c r="C346" s="91" t="s">
        <v>609</v>
      </c>
      <c r="D346" s="145">
        <v>2023</v>
      </c>
      <c r="E346" s="146">
        <v>2025</v>
      </c>
      <c r="F346" s="93" t="s">
        <v>626</v>
      </c>
      <c r="G346" s="97">
        <f t="shared" si="184"/>
        <v>3944</v>
      </c>
      <c r="H346" s="97"/>
      <c r="I346" s="97">
        <v>3500</v>
      </c>
      <c r="J346" s="97">
        <v>444</v>
      </c>
      <c r="K346" s="148"/>
      <c r="L346" s="97">
        <f t="shared" si="185"/>
        <v>500</v>
      </c>
      <c r="M346" s="97"/>
      <c r="N346" s="97">
        <v>500</v>
      </c>
      <c r="O346" s="97"/>
      <c r="P346" s="97"/>
      <c r="Q346" s="97"/>
      <c r="R346" s="97"/>
      <c r="S346" s="97"/>
      <c r="T346" s="148">
        <v>502</v>
      </c>
      <c r="U346" s="22">
        <f>V346+W346+X346+Y346+Z346+AA346</f>
        <v>50</v>
      </c>
      <c r="V346" s="22"/>
      <c r="W346" s="22"/>
      <c r="X346" s="22"/>
      <c r="Y346" s="22">
        <v>50</v>
      </c>
      <c r="Z346" s="22"/>
      <c r="AA346" s="22"/>
      <c r="AB346" s="97"/>
      <c r="AC346" s="97"/>
      <c r="AD346" s="97"/>
      <c r="AE346" s="97"/>
      <c r="AF346" s="175">
        <v>502</v>
      </c>
      <c r="AG346" s="175"/>
      <c r="AH346" s="191">
        <f t="shared" si="191"/>
        <v>550</v>
      </c>
      <c r="AI346" s="191">
        <f t="shared" si="192"/>
        <v>0</v>
      </c>
      <c r="AJ346" s="191">
        <f t="shared" si="193"/>
        <v>550</v>
      </c>
      <c r="AK346" s="191">
        <f t="shared" si="194"/>
        <v>0</v>
      </c>
      <c r="AL346" s="191">
        <f>G346-AH346</f>
        <v>3394</v>
      </c>
      <c r="AM346" s="175"/>
      <c r="AN346" s="175">
        <f>I346-AJ346</f>
        <v>2950</v>
      </c>
      <c r="AO346" s="175">
        <f>J346-AK346</f>
        <v>444</v>
      </c>
      <c r="AP346" s="166"/>
      <c r="AQ346" s="166"/>
      <c r="AR346" s="3"/>
      <c r="AS346" s="3"/>
      <c r="AT346" s="3"/>
      <c r="AU346" s="3"/>
      <c r="AV346" s="3"/>
      <c r="AW346" s="3"/>
      <c r="AX346" s="3"/>
      <c r="AY346" s="3"/>
    </row>
    <row r="347" spans="1:247" s="4" customFormat="1" ht="110.25" customHeight="1" x14ac:dyDescent="0.3">
      <c r="A347" s="89">
        <v>10</v>
      </c>
      <c r="B347" s="123" t="s">
        <v>627</v>
      </c>
      <c r="C347" s="91" t="s">
        <v>609</v>
      </c>
      <c r="D347" s="145">
        <v>2023</v>
      </c>
      <c r="E347" s="146">
        <v>2025</v>
      </c>
      <c r="F347" s="93" t="s">
        <v>628</v>
      </c>
      <c r="G347" s="97">
        <f t="shared" si="184"/>
        <v>4992</v>
      </c>
      <c r="H347" s="97"/>
      <c r="I347" s="97">
        <v>4000</v>
      </c>
      <c r="J347" s="97">
        <v>992</v>
      </c>
      <c r="K347" s="148">
        <v>742</v>
      </c>
      <c r="L347" s="97">
        <f t="shared" si="185"/>
        <v>500</v>
      </c>
      <c r="M347" s="97"/>
      <c r="N347" s="97">
        <v>500</v>
      </c>
      <c r="O347" s="97"/>
      <c r="P347" s="97">
        <f>K347-L347</f>
        <v>242</v>
      </c>
      <c r="Q347" s="97"/>
      <c r="R347" s="97">
        <v>100</v>
      </c>
      <c r="S347" s="97">
        <f>P347-R347</f>
        <v>142</v>
      </c>
      <c r="T347" s="148"/>
      <c r="U347" s="22">
        <f t="shared" si="187"/>
        <v>100</v>
      </c>
      <c r="V347" s="22"/>
      <c r="W347" s="22"/>
      <c r="X347" s="22">
        <v>100</v>
      </c>
      <c r="Y347" s="22"/>
      <c r="Z347" s="22"/>
      <c r="AA347" s="22"/>
      <c r="AB347" s="97">
        <f t="shared" ref="AB347" si="198">AC347+AD347+AE347</f>
        <v>142</v>
      </c>
      <c r="AC347" s="97"/>
      <c r="AD347" s="97">
        <f t="shared" si="197"/>
        <v>0</v>
      </c>
      <c r="AE347" s="97">
        <f t="shared" si="189"/>
        <v>142</v>
      </c>
      <c r="AF347" s="175">
        <v>742</v>
      </c>
      <c r="AG347" s="175"/>
      <c r="AH347" s="191">
        <f t="shared" si="191"/>
        <v>600</v>
      </c>
      <c r="AI347" s="191">
        <f t="shared" si="192"/>
        <v>0</v>
      </c>
      <c r="AJ347" s="191">
        <f t="shared" si="193"/>
        <v>600</v>
      </c>
      <c r="AK347" s="191">
        <f t="shared" si="194"/>
        <v>0</v>
      </c>
      <c r="AL347" s="191">
        <f>G347-AH347</f>
        <v>4392</v>
      </c>
      <c r="AM347" s="175"/>
      <c r="AN347" s="175">
        <f t="shared" si="196"/>
        <v>3400</v>
      </c>
      <c r="AO347" s="175">
        <f>J347-AK347</f>
        <v>992</v>
      </c>
      <c r="AP347" s="166"/>
      <c r="AQ347" s="166"/>
      <c r="AR347" s="3"/>
      <c r="AS347" s="3"/>
      <c r="AT347" s="3"/>
      <c r="AU347" s="3"/>
      <c r="AV347" s="3"/>
      <c r="AW347" s="3"/>
      <c r="AX347" s="3"/>
      <c r="AY347" s="3"/>
    </row>
    <row r="348" spans="1:247" s="4" customFormat="1" ht="110.25" customHeight="1" x14ac:dyDescent="0.3">
      <c r="A348" s="89">
        <v>11</v>
      </c>
      <c r="B348" s="123" t="s">
        <v>629</v>
      </c>
      <c r="C348" s="91" t="s">
        <v>609</v>
      </c>
      <c r="D348" s="145">
        <v>2023</v>
      </c>
      <c r="E348" s="146">
        <v>2025</v>
      </c>
      <c r="F348" s="93" t="s">
        <v>630</v>
      </c>
      <c r="G348" s="97">
        <f t="shared" si="184"/>
        <v>6000</v>
      </c>
      <c r="H348" s="97"/>
      <c r="I348" s="97">
        <v>5500</v>
      </c>
      <c r="J348" s="97">
        <v>500</v>
      </c>
      <c r="K348" s="148">
        <v>2022</v>
      </c>
      <c r="L348" s="97">
        <f t="shared" si="185"/>
        <v>2000</v>
      </c>
      <c r="M348" s="97"/>
      <c r="N348" s="97">
        <v>2000</v>
      </c>
      <c r="O348" s="97"/>
      <c r="P348" s="97">
        <f>K348-L348</f>
        <v>22</v>
      </c>
      <c r="Q348" s="97"/>
      <c r="R348" s="97"/>
      <c r="S348" s="97">
        <v>22</v>
      </c>
      <c r="T348" s="148">
        <v>2084</v>
      </c>
      <c r="U348" s="22">
        <f t="shared" si="187"/>
        <v>2000</v>
      </c>
      <c r="V348" s="22"/>
      <c r="W348" s="22"/>
      <c r="X348" s="22"/>
      <c r="Y348" s="22">
        <v>2000</v>
      </c>
      <c r="Z348" s="22"/>
      <c r="AA348" s="22"/>
      <c r="AB348" s="97">
        <f>P348+T348-U348</f>
        <v>106</v>
      </c>
      <c r="AC348" s="97"/>
      <c r="AD348" s="97"/>
      <c r="AE348" s="97">
        <v>106</v>
      </c>
      <c r="AF348" s="175">
        <f>K348+T348</f>
        <v>4106</v>
      </c>
      <c r="AG348" s="175"/>
      <c r="AH348" s="191">
        <f t="shared" si="191"/>
        <v>4000</v>
      </c>
      <c r="AI348" s="191">
        <f t="shared" si="192"/>
        <v>0</v>
      </c>
      <c r="AJ348" s="191">
        <f t="shared" si="193"/>
        <v>4000</v>
      </c>
      <c r="AK348" s="191">
        <f t="shared" si="194"/>
        <v>0</v>
      </c>
      <c r="AL348" s="191">
        <f>G348-AH348</f>
        <v>2000</v>
      </c>
      <c r="AM348" s="175"/>
      <c r="AN348" s="175">
        <f>I348-AJ348</f>
        <v>1500</v>
      </c>
      <c r="AO348" s="175">
        <f>J348-AK348</f>
        <v>500</v>
      </c>
      <c r="AP348" s="166"/>
      <c r="AQ348" s="166"/>
      <c r="AR348" s="3"/>
      <c r="AS348" s="3"/>
      <c r="AT348" s="3"/>
      <c r="AU348" s="3"/>
      <c r="AV348" s="3"/>
      <c r="AW348" s="3"/>
      <c r="AX348" s="3"/>
      <c r="AY348" s="3"/>
    </row>
    <row r="349" spans="1:247" s="4" customFormat="1" ht="110.25" customHeight="1" x14ac:dyDescent="0.3">
      <c r="A349" s="89">
        <v>12</v>
      </c>
      <c r="B349" s="123" t="s">
        <v>631</v>
      </c>
      <c r="C349" s="91" t="s">
        <v>609</v>
      </c>
      <c r="D349" s="145">
        <v>2023</v>
      </c>
      <c r="E349" s="146">
        <v>2025</v>
      </c>
      <c r="F349" s="93" t="s">
        <v>632</v>
      </c>
      <c r="G349" s="97">
        <f t="shared" si="184"/>
        <v>6280</v>
      </c>
      <c r="H349" s="97"/>
      <c r="I349" s="97">
        <v>5500</v>
      </c>
      <c r="J349" s="97">
        <v>780</v>
      </c>
      <c r="K349" s="148"/>
      <c r="L349" s="97">
        <f t="shared" si="185"/>
        <v>500</v>
      </c>
      <c r="M349" s="97"/>
      <c r="N349" s="97">
        <v>500</v>
      </c>
      <c r="O349" s="97"/>
      <c r="P349" s="97"/>
      <c r="Q349" s="97"/>
      <c r="R349" s="97"/>
      <c r="S349" s="97"/>
      <c r="T349" s="148">
        <v>1614</v>
      </c>
      <c r="U349" s="22">
        <f t="shared" si="187"/>
        <v>1000</v>
      </c>
      <c r="V349" s="22"/>
      <c r="W349" s="22"/>
      <c r="X349" s="22">
        <v>1000</v>
      </c>
      <c r="Y349" s="22"/>
      <c r="Z349" s="22"/>
      <c r="AA349" s="22"/>
      <c r="AB349" s="97">
        <f>P349+T349-U349-L349</f>
        <v>114</v>
      </c>
      <c r="AC349" s="97"/>
      <c r="AD349" s="97"/>
      <c r="AE349" s="97">
        <v>114</v>
      </c>
      <c r="AF349" s="175">
        <v>1614</v>
      </c>
      <c r="AG349" s="175">
        <f t="shared" si="190"/>
        <v>0</v>
      </c>
      <c r="AH349" s="191">
        <f t="shared" si="191"/>
        <v>1500</v>
      </c>
      <c r="AI349" s="191">
        <f t="shared" si="192"/>
        <v>0</v>
      </c>
      <c r="AJ349" s="191">
        <f t="shared" si="193"/>
        <v>1500</v>
      </c>
      <c r="AK349" s="191">
        <f t="shared" si="194"/>
        <v>0</v>
      </c>
      <c r="AL349" s="191">
        <f>G349-AH349</f>
        <v>4780</v>
      </c>
      <c r="AM349" s="175"/>
      <c r="AN349" s="175">
        <f>I349-AJ349</f>
        <v>4000</v>
      </c>
      <c r="AO349" s="175">
        <f>J349</f>
        <v>780</v>
      </c>
      <c r="AP349" s="166"/>
      <c r="AQ349" s="166"/>
      <c r="AR349" s="3"/>
      <c r="AS349" s="3"/>
      <c r="AT349" s="3"/>
      <c r="AU349" s="3"/>
      <c r="AV349" s="3"/>
      <c r="AW349" s="3"/>
      <c r="AX349" s="3"/>
      <c r="AY349" s="3"/>
    </row>
    <row r="350" spans="1:247" ht="18" customHeight="1" x14ac:dyDescent="0.3">
      <c r="A350" s="16">
        <v>17</v>
      </c>
      <c r="B350" s="20" t="s">
        <v>633</v>
      </c>
      <c r="C350" s="20"/>
      <c r="D350" s="20"/>
      <c r="E350" s="20"/>
      <c r="F350" s="20"/>
      <c r="G350" s="72">
        <f>G351+G356</f>
        <v>477308</v>
      </c>
      <c r="H350" s="72">
        <f t="shared" ref="H350:AO350" si="199">H351+H356</f>
        <v>326200</v>
      </c>
      <c r="I350" s="72">
        <f t="shared" si="199"/>
        <v>151108</v>
      </c>
      <c r="J350" s="72">
        <f t="shared" si="199"/>
        <v>0</v>
      </c>
      <c r="K350" s="72">
        <f t="shared" si="199"/>
        <v>290149</v>
      </c>
      <c r="L350" s="72">
        <f t="shared" si="199"/>
        <v>256817</v>
      </c>
      <c r="M350" s="72">
        <f t="shared" si="199"/>
        <v>227310</v>
      </c>
      <c r="N350" s="72">
        <f t="shared" si="199"/>
        <v>29507</v>
      </c>
      <c r="O350" s="72">
        <f t="shared" si="199"/>
        <v>0</v>
      </c>
      <c r="P350" s="72">
        <f t="shared" si="199"/>
        <v>33332</v>
      </c>
      <c r="Q350" s="72">
        <f t="shared" si="199"/>
        <v>5687</v>
      </c>
      <c r="R350" s="72">
        <f t="shared" si="199"/>
        <v>27645</v>
      </c>
      <c r="S350" s="72">
        <f t="shared" si="199"/>
        <v>0</v>
      </c>
      <c r="T350" s="72">
        <f t="shared" si="199"/>
        <v>1826</v>
      </c>
      <c r="U350" s="72">
        <f t="shared" si="199"/>
        <v>24356</v>
      </c>
      <c r="V350" s="72">
        <f t="shared" si="199"/>
        <v>1422</v>
      </c>
      <c r="W350" s="72">
        <f t="shared" si="199"/>
        <v>18569</v>
      </c>
      <c r="X350" s="72">
        <f t="shared" si="199"/>
        <v>2835</v>
      </c>
      <c r="Y350" s="72">
        <f t="shared" si="199"/>
        <v>1530</v>
      </c>
      <c r="Z350" s="72">
        <f t="shared" si="199"/>
        <v>0</v>
      </c>
      <c r="AA350" s="72">
        <f t="shared" si="199"/>
        <v>0</v>
      </c>
      <c r="AB350" s="72">
        <f t="shared" si="199"/>
        <v>29264</v>
      </c>
      <c r="AC350" s="72">
        <f t="shared" si="199"/>
        <v>4333</v>
      </c>
      <c r="AD350" s="72">
        <f t="shared" si="199"/>
        <v>24931</v>
      </c>
      <c r="AE350" s="72">
        <f t="shared" si="199"/>
        <v>0</v>
      </c>
      <c r="AF350" s="195">
        <f t="shared" si="199"/>
        <v>149061</v>
      </c>
      <c r="AG350" s="195">
        <f t="shared" si="199"/>
        <v>142914</v>
      </c>
      <c r="AH350" s="195">
        <f t="shared" si="199"/>
        <v>281173</v>
      </c>
      <c r="AI350" s="195">
        <f t="shared" si="199"/>
        <v>247301</v>
      </c>
      <c r="AJ350" s="195">
        <f t="shared" si="199"/>
        <v>33872</v>
      </c>
      <c r="AK350" s="195">
        <f t="shared" si="199"/>
        <v>0</v>
      </c>
      <c r="AL350" s="195">
        <f t="shared" si="199"/>
        <v>192948</v>
      </c>
      <c r="AM350" s="195">
        <f t="shared" si="199"/>
        <v>77655</v>
      </c>
      <c r="AN350" s="195">
        <f t="shared" si="199"/>
        <v>115293</v>
      </c>
      <c r="AO350" s="195">
        <f t="shared" si="199"/>
        <v>0</v>
      </c>
      <c r="AP350" s="166"/>
      <c r="AQ350" s="166"/>
      <c r="AR350" s="3"/>
      <c r="AS350" s="3"/>
      <c r="AT350" s="3"/>
      <c r="AU350" s="3"/>
      <c r="AV350" s="3"/>
      <c r="AW350" s="3"/>
      <c r="AX350" s="3"/>
      <c r="AY350" s="3"/>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c r="IB350" s="4"/>
      <c r="IC350" s="4"/>
      <c r="ID350" s="4"/>
      <c r="IE350" s="4"/>
      <c r="IF350" s="4"/>
      <c r="IG350" s="4"/>
      <c r="IH350" s="4"/>
      <c r="II350" s="4"/>
      <c r="IJ350" s="4"/>
      <c r="IK350" s="4"/>
      <c r="IL350" s="4"/>
      <c r="IM350" s="4"/>
    </row>
    <row r="351" spans="1:247" ht="23.4" customHeight="1" x14ac:dyDescent="0.3">
      <c r="A351" s="154" t="s">
        <v>42</v>
      </c>
      <c r="B351" s="158" t="s">
        <v>243</v>
      </c>
      <c r="C351" s="156"/>
      <c r="D351" s="159"/>
      <c r="E351" s="159"/>
      <c r="F351" s="159"/>
      <c r="G351" s="87">
        <f>G352+G353+G354+G355</f>
        <v>338200</v>
      </c>
      <c r="H351" s="87">
        <f t="shared" ref="H351:AO351" si="200">H352+H353+H354+H355</f>
        <v>250200</v>
      </c>
      <c r="I351" s="87">
        <f t="shared" si="200"/>
        <v>88000</v>
      </c>
      <c r="J351" s="87">
        <f t="shared" si="200"/>
        <v>0</v>
      </c>
      <c r="K351" s="87">
        <f t="shared" si="200"/>
        <v>166632</v>
      </c>
      <c r="L351" s="87">
        <f t="shared" si="200"/>
        <v>162110</v>
      </c>
      <c r="M351" s="87">
        <f t="shared" si="200"/>
        <v>156310</v>
      </c>
      <c r="N351" s="87">
        <f t="shared" si="200"/>
        <v>5800</v>
      </c>
      <c r="O351" s="87">
        <f t="shared" si="200"/>
        <v>0</v>
      </c>
      <c r="P351" s="87">
        <f t="shared" si="200"/>
        <v>4522</v>
      </c>
      <c r="Q351" s="87">
        <f t="shared" si="200"/>
        <v>1422</v>
      </c>
      <c r="R351" s="87">
        <f t="shared" si="200"/>
        <v>3100</v>
      </c>
      <c r="S351" s="87">
        <f t="shared" si="200"/>
        <v>0</v>
      </c>
      <c r="T351" s="87">
        <f t="shared" si="200"/>
        <v>1575</v>
      </c>
      <c r="U351" s="87">
        <f t="shared" si="200"/>
        <v>21931</v>
      </c>
      <c r="V351" s="87">
        <f t="shared" si="200"/>
        <v>1422</v>
      </c>
      <c r="W351" s="87">
        <f t="shared" si="200"/>
        <v>18569</v>
      </c>
      <c r="X351" s="87">
        <f t="shared" si="200"/>
        <v>540</v>
      </c>
      <c r="Y351" s="87">
        <f t="shared" si="200"/>
        <v>1400</v>
      </c>
      <c r="Z351" s="87">
        <f t="shared" si="200"/>
        <v>0</v>
      </c>
      <c r="AA351" s="87">
        <f t="shared" si="200"/>
        <v>0</v>
      </c>
      <c r="AB351" s="87">
        <f t="shared" si="200"/>
        <v>2628</v>
      </c>
      <c r="AC351" s="87">
        <f t="shared" si="200"/>
        <v>68</v>
      </c>
      <c r="AD351" s="87">
        <f t="shared" si="200"/>
        <v>2560</v>
      </c>
      <c r="AE351" s="87">
        <f t="shared" si="200"/>
        <v>0</v>
      </c>
      <c r="AF351" s="174">
        <f t="shared" si="200"/>
        <v>91616</v>
      </c>
      <c r="AG351" s="174">
        <f t="shared" si="200"/>
        <v>76591</v>
      </c>
      <c r="AH351" s="174">
        <f t="shared" si="200"/>
        <v>184041</v>
      </c>
      <c r="AI351" s="174">
        <f t="shared" si="200"/>
        <v>176301</v>
      </c>
      <c r="AJ351" s="174">
        <f t="shared" si="200"/>
        <v>7740</v>
      </c>
      <c r="AK351" s="174">
        <f t="shared" si="200"/>
        <v>0</v>
      </c>
      <c r="AL351" s="174">
        <f t="shared" si="200"/>
        <v>152550</v>
      </c>
      <c r="AM351" s="174">
        <f t="shared" si="200"/>
        <v>73390</v>
      </c>
      <c r="AN351" s="174">
        <f t="shared" si="200"/>
        <v>79160</v>
      </c>
      <c r="AO351" s="174">
        <f t="shared" si="200"/>
        <v>0</v>
      </c>
      <c r="AP351" s="166"/>
      <c r="AQ351" s="166"/>
      <c r="AR351" s="3"/>
      <c r="AS351" s="3"/>
      <c r="AT351" s="3"/>
      <c r="AU351" s="3"/>
      <c r="AV351" s="3"/>
      <c r="AW351" s="3"/>
      <c r="AX351" s="3"/>
      <c r="AY351" s="3"/>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c r="IB351" s="4"/>
      <c r="IC351" s="4"/>
      <c r="ID351" s="4"/>
      <c r="IE351" s="4"/>
      <c r="IF351" s="4"/>
      <c r="IG351" s="4"/>
      <c r="IH351" s="4"/>
      <c r="II351" s="4"/>
      <c r="IJ351" s="4"/>
      <c r="IK351" s="4"/>
      <c r="IL351" s="4"/>
      <c r="IM351" s="4"/>
    </row>
    <row r="352" spans="1:247" s="4" customFormat="1" ht="84" customHeight="1" x14ac:dyDescent="0.3">
      <c r="A352" s="89">
        <v>1</v>
      </c>
      <c r="B352" s="123" t="s">
        <v>634</v>
      </c>
      <c r="C352" s="91" t="s">
        <v>635</v>
      </c>
      <c r="D352" s="145">
        <v>2022</v>
      </c>
      <c r="E352" s="146">
        <v>2025</v>
      </c>
      <c r="F352" s="93" t="s">
        <v>636</v>
      </c>
      <c r="G352" s="97">
        <f t="shared" ref="G352:G354" si="201">SUM(H352:J352)</f>
        <v>130000</v>
      </c>
      <c r="H352" s="97">
        <v>110000</v>
      </c>
      <c r="I352" s="97">
        <v>20000</v>
      </c>
      <c r="J352" s="97"/>
      <c r="K352" s="148">
        <v>88607</v>
      </c>
      <c r="L352" s="97">
        <f t="shared" ref="L352:L354" si="202">M352+N352+O352</f>
        <v>87560</v>
      </c>
      <c r="M352" s="97">
        <v>85560</v>
      </c>
      <c r="N352" s="97">
        <v>2000</v>
      </c>
      <c r="O352" s="97"/>
      <c r="P352" s="97">
        <f>K352-L352</f>
        <v>1047</v>
      </c>
      <c r="Q352" s="97">
        <f>K352-L352</f>
        <v>1047</v>
      </c>
      <c r="R352" s="97"/>
      <c r="S352" s="97"/>
      <c r="T352" s="148">
        <v>571</v>
      </c>
      <c r="U352" s="22">
        <f>SUM(V352:AA352)</f>
        <v>1550</v>
      </c>
      <c r="V352" s="22">
        <v>1047</v>
      </c>
      <c r="W352" s="22">
        <f>1550-V352</f>
        <v>503</v>
      </c>
      <c r="X352" s="22"/>
      <c r="Y352" s="22"/>
      <c r="Z352" s="22"/>
      <c r="AA352" s="22"/>
      <c r="AB352" s="97">
        <f>P352+T352-U352</f>
        <v>68</v>
      </c>
      <c r="AC352" s="97">
        <f>T352-W352</f>
        <v>68</v>
      </c>
      <c r="AD352" s="97"/>
      <c r="AE352" s="97"/>
      <c r="AF352" s="175">
        <f t="shared" ref="AF352:AF353" si="203">K352+T352</f>
        <v>89178</v>
      </c>
      <c r="AG352" s="175"/>
      <c r="AH352" s="191">
        <f>L352+U352</f>
        <v>89110</v>
      </c>
      <c r="AI352" s="191">
        <f>M352+V352+W352</f>
        <v>87110</v>
      </c>
      <c r="AJ352" s="191">
        <f>N352+X352+Y352</f>
        <v>2000</v>
      </c>
      <c r="AK352" s="191"/>
      <c r="AL352" s="191">
        <f>G352-AH352</f>
        <v>40890</v>
      </c>
      <c r="AM352" s="175">
        <f>H352-AI352</f>
        <v>22890</v>
      </c>
      <c r="AN352" s="175">
        <f>I352-AJ352</f>
        <v>18000</v>
      </c>
      <c r="AO352" s="175"/>
      <c r="AP352" s="166"/>
      <c r="AQ352" s="166"/>
      <c r="AR352" s="3"/>
      <c r="AS352" s="3"/>
      <c r="AT352" s="3"/>
      <c r="AU352" s="3"/>
      <c r="AV352" s="3"/>
      <c r="AW352" s="3"/>
      <c r="AX352" s="3"/>
      <c r="AY352" s="3"/>
    </row>
    <row r="353" spans="1:247" s="4" customFormat="1" ht="78" customHeight="1" x14ac:dyDescent="0.3">
      <c r="A353" s="89">
        <v>2</v>
      </c>
      <c r="B353" s="123" t="s">
        <v>637</v>
      </c>
      <c r="C353" s="91" t="s">
        <v>635</v>
      </c>
      <c r="D353" s="145">
        <v>2023</v>
      </c>
      <c r="E353" s="146">
        <v>2025</v>
      </c>
      <c r="F353" s="93" t="s">
        <v>638</v>
      </c>
      <c r="G353" s="97">
        <f t="shared" si="201"/>
        <v>45000</v>
      </c>
      <c r="H353" s="97">
        <v>25000</v>
      </c>
      <c r="I353" s="97">
        <v>20000</v>
      </c>
      <c r="J353" s="97"/>
      <c r="K353" s="148">
        <v>1434</v>
      </c>
      <c r="L353" s="97">
        <f t="shared" si="202"/>
        <v>1339</v>
      </c>
      <c r="M353" s="97">
        <v>1339</v>
      </c>
      <c r="N353" s="97"/>
      <c r="O353" s="97"/>
      <c r="P353" s="97">
        <f>K353-L353</f>
        <v>95</v>
      </c>
      <c r="Q353" s="97">
        <f>K353-L353</f>
        <v>95</v>
      </c>
      <c r="R353" s="97"/>
      <c r="S353" s="97"/>
      <c r="T353" s="148">
        <v>1004</v>
      </c>
      <c r="U353" s="22">
        <f>SUM(V353:AA353)</f>
        <v>15061</v>
      </c>
      <c r="V353" s="22">
        <f>Q353</f>
        <v>95</v>
      </c>
      <c r="W353" s="22">
        <v>13566</v>
      </c>
      <c r="X353" s="22"/>
      <c r="Y353" s="22">
        <v>1400</v>
      </c>
      <c r="Z353" s="22"/>
      <c r="AA353" s="22"/>
      <c r="AB353" s="97"/>
      <c r="AC353" s="97"/>
      <c r="AD353" s="97"/>
      <c r="AE353" s="97"/>
      <c r="AF353" s="175">
        <f t="shared" si="203"/>
        <v>2438</v>
      </c>
      <c r="AG353" s="175"/>
      <c r="AH353" s="191">
        <f t="shared" ref="AH353" si="204">L353+U353</f>
        <v>16400</v>
      </c>
      <c r="AI353" s="191">
        <f t="shared" ref="AI353" si="205">M353+V353+W353</f>
        <v>15000</v>
      </c>
      <c r="AJ353" s="191">
        <f t="shared" ref="AJ353" si="206">N353+X353+Y353</f>
        <v>1400</v>
      </c>
      <c r="AK353" s="191"/>
      <c r="AL353" s="191">
        <f>AM353+AN353+AO353</f>
        <v>28600</v>
      </c>
      <c r="AM353" s="175">
        <f>H353-AI353</f>
        <v>10000</v>
      </c>
      <c r="AN353" s="175">
        <f>I353-AJ353</f>
        <v>18600</v>
      </c>
      <c r="AO353" s="175"/>
      <c r="AP353" s="166"/>
      <c r="AQ353" s="166"/>
      <c r="AR353" s="3"/>
      <c r="AS353" s="3"/>
      <c r="AT353" s="3"/>
      <c r="AU353" s="3"/>
      <c r="AV353" s="3"/>
      <c r="AW353" s="3"/>
      <c r="AX353" s="3"/>
      <c r="AY353" s="3"/>
    </row>
    <row r="354" spans="1:247" s="4" customFormat="1" ht="78" customHeight="1" x14ac:dyDescent="0.3">
      <c r="A354" s="89">
        <v>3</v>
      </c>
      <c r="B354" s="123" t="s">
        <v>639</v>
      </c>
      <c r="C354" s="91" t="s">
        <v>635</v>
      </c>
      <c r="D354" s="145">
        <v>2023</v>
      </c>
      <c r="E354" s="146">
        <v>2025</v>
      </c>
      <c r="F354" s="93" t="s">
        <v>640</v>
      </c>
      <c r="G354" s="97">
        <f t="shared" si="201"/>
        <v>85000</v>
      </c>
      <c r="H354" s="97">
        <v>45000</v>
      </c>
      <c r="I354" s="97">
        <v>40000</v>
      </c>
      <c r="J354" s="97"/>
      <c r="K354" s="148"/>
      <c r="L354" s="97">
        <f t="shared" si="202"/>
        <v>0</v>
      </c>
      <c r="M354" s="97"/>
      <c r="N354" s="97"/>
      <c r="O354" s="97"/>
      <c r="P354" s="97">
        <f t="shared" ref="P354:P355" si="207">SUM(Q354:S354)</f>
        <v>0</v>
      </c>
      <c r="Q354" s="97"/>
      <c r="R354" s="97"/>
      <c r="S354" s="97"/>
      <c r="T354" s="148"/>
      <c r="U354" s="22">
        <f t="shared" ref="U354:U355" si="208">SUM(V354:AA354)</f>
        <v>4500</v>
      </c>
      <c r="V354" s="22"/>
      <c r="W354" s="22">
        <v>4500</v>
      </c>
      <c r="X354" s="22"/>
      <c r="Y354" s="22"/>
      <c r="Z354" s="22"/>
      <c r="AA354" s="22"/>
      <c r="AB354" s="97"/>
      <c r="AC354" s="97"/>
      <c r="AD354" s="97"/>
      <c r="AE354" s="97"/>
      <c r="AF354" s="175"/>
      <c r="AG354" s="175"/>
      <c r="AH354" s="191">
        <f>AI354+AJ354+AK354</f>
        <v>4500</v>
      </c>
      <c r="AI354" s="191">
        <v>4500</v>
      </c>
      <c r="AJ354" s="191"/>
      <c r="AK354" s="191"/>
      <c r="AL354" s="191">
        <f>AM354+AN354+AO354</f>
        <v>80500</v>
      </c>
      <c r="AM354" s="175">
        <f>H354-AI354</f>
        <v>40500</v>
      </c>
      <c r="AN354" s="175">
        <f>I354-AJ354</f>
        <v>40000</v>
      </c>
      <c r="AO354" s="175"/>
      <c r="AP354" s="166"/>
      <c r="AQ354" s="166"/>
      <c r="AR354" s="3"/>
      <c r="AS354" s="3"/>
      <c r="AT354" s="3"/>
      <c r="AU354" s="3"/>
      <c r="AV354" s="3"/>
      <c r="AW354" s="3"/>
      <c r="AX354" s="3"/>
      <c r="AY354" s="3"/>
    </row>
    <row r="355" spans="1:247" s="4" customFormat="1" ht="78" customHeight="1" x14ac:dyDescent="0.3">
      <c r="A355" s="89">
        <v>4</v>
      </c>
      <c r="B355" s="123" t="s">
        <v>641</v>
      </c>
      <c r="C355" s="91" t="s">
        <v>635</v>
      </c>
      <c r="D355" s="145">
        <v>2019</v>
      </c>
      <c r="E355" s="146">
        <v>2022</v>
      </c>
      <c r="F355" s="93" t="s">
        <v>642</v>
      </c>
      <c r="G355" s="97">
        <f>SUM(H355:J355)</f>
        <v>78200</v>
      </c>
      <c r="H355" s="97">
        <v>70200</v>
      </c>
      <c r="I355" s="97">
        <v>8000</v>
      </c>
      <c r="J355" s="97"/>
      <c r="K355" s="148">
        <v>76591</v>
      </c>
      <c r="L355" s="97">
        <f>M355+N355+O355</f>
        <v>73211</v>
      </c>
      <c r="M355" s="97">
        <v>69411</v>
      </c>
      <c r="N355" s="97">
        <v>3800</v>
      </c>
      <c r="O355" s="97"/>
      <c r="P355" s="97">
        <f t="shared" si="207"/>
        <v>3380</v>
      </c>
      <c r="Q355" s="97">
        <v>280</v>
      </c>
      <c r="R355" s="97">
        <f>K355-L355-Q355</f>
        <v>3100</v>
      </c>
      <c r="S355" s="97"/>
      <c r="T355" s="148"/>
      <c r="U355" s="22">
        <f t="shared" si="208"/>
        <v>820</v>
      </c>
      <c r="V355" s="22">
        <v>280</v>
      </c>
      <c r="W355" s="22"/>
      <c r="X355" s="22">
        <v>540</v>
      </c>
      <c r="Y355" s="22"/>
      <c r="Z355" s="22"/>
      <c r="AA355" s="22"/>
      <c r="AB355" s="97">
        <f>P355+T355-U355</f>
        <v>2560</v>
      </c>
      <c r="AC355" s="97">
        <f t="shared" ref="AC355" si="209">T355-W355</f>
        <v>0</v>
      </c>
      <c r="AD355" s="97">
        <f>R355-X355</f>
        <v>2560</v>
      </c>
      <c r="AE355" s="97"/>
      <c r="AF355" s="175"/>
      <c r="AG355" s="175">
        <v>76591</v>
      </c>
      <c r="AH355" s="191">
        <f>L355+U355</f>
        <v>74031</v>
      </c>
      <c r="AI355" s="191">
        <f>M355+V355+W355</f>
        <v>69691</v>
      </c>
      <c r="AJ355" s="191">
        <f>N355+X355+Y355</f>
        <v>4340</v>
      </c>
      <c r="AK355" s="191"/>
      <c r="AL355" s="191">
        <f>AG355-AH355</f>
        <v>2560</v>
      </c>
      <c r="AM355" s="175">
        <v>0</v>
      </c>
      <c r="AN355" s="175">
        <f>AL355</f>
        <v>2560</v>
      </c>
      <c r="AO355" s="175"/>
      <c r="AP355" s="166"/>
      <c r="AQ355" s="166"/>
      <c r="AR355" s="3"/>
      <c r="AS355" s="3"/>
      <c r="AT355" s="3"/>
      <c r="AU355" s="3"/>
      <c r="AV355" s="3"/>
      <c r="AW355" s="3"/>
      <c r="AX355" s="3"/>
      <c r="AY355" s="3"/>
    </row>
    <row r="356" spans="1:247" ht="23.4" customHeight="1" x14ac:dyDescent="0.3">
      <c r="A356" s="154" t="s">
        <v>71</v>
      </c>
      <c r="B356" s="155" t="s">
        <v>643</v>
      </c>
      <c r="C356" s="156"/>
      <c r="D356" s="159"/>
      <c r="E356" s="159"/>
      <c r="F356" s="159"/>
      <c r="G356" s="87">
        <f>SUM(G357:G361)</f>
        <v>139108</v>
      </c>
      <c r="H356" s="87">
        <f t="shared" ref="H356:AO356" si="210">SUM(H357:H361)</f>
        <v>76000</v>
      </c>
      <c r="I356" s="87">
        <f t="shared" si="210"/>
        <v>63108</v>
      </c>
      <c r="J356" s="87">
        <f t="shared" si="210"/>
        <v>0</v>
      </c>
      <c r="K356" s="87">
        <f t="shared" si="210"/>
        <v>123517</v>
      </c>
      <c r="L356" s="87">
        <f t="shared" si="210"/>
        <v>94707</v>
      </c>
      <c r="M356" s="87">
        <f t="shared" si="210"/>
        <v>71000</v>
      </c>
      <c r="N356" s="87">
        <f t="shared" si="210"/>
        <v>23707</v>
      </c>
      <c r="O356" s="87">
        <f t="shared" si="210"/>
        <v>0</v>
      </c>
      <c r="P356" s="87">
        <f t="shared" si="210"/>
        <v>28810</v>
      </c>
      <c r="Q356" s="87">
        <f t="shared" si="210"/>
        <v>4265</v>
      </c>
      <c r="R356" s="87">
        <f t="shared" si="210"/>
        <v>24545</v>
      </c>
      <c r="S356" s="87">
        <f t="shared" si="210"/>
        <v>0</v>
      </c>
      <c r="T356" s="87">
        <f t="shared" si="210"/>
        <v>251</v>
      </c>
      <c r="U356" s="87">
        <f t="shared" si="210"/>
        <v>2425</v>
      </c>
      <c r="V356" s="87">
        <f t="shared" si="210"/>
        <v>0</v>
      </c>
      <c r="W356" s="87">
        <f t="shared" si="210"/>
        <v>0</v>
      </c>
      <c r="X356" s="87">
        <f t="shared" si="210"/>
        <v>2295</v>
      </c>
      <c r="Y356" s="87">
        <f t="shared" si="210"/>
        <v>130</v>
      </c>
      <c r="Z356" s="87">
        <f t="shared" si="210"/>
        <v>0</v>
      </c>
      <c r="AA356" s="87">
        <f t="shared" si="210"/>
        <v>0</v>
      </c>
      <c r="AB356" s="87">
        <f t="shared" si="210"/>
        <v>26636</v>
      </c>
      <c r="AC356" s="87">
        <f t="shared" si="210"/>
        <v>4265</v>
      </c>
      <c r="AD356" s="87">
        <f t="shared" si="210"/>
        <v>22371</v>
      </c>
      <c r="AE356" s="87">
        <f t="shared" si="210"/>
        <v>0</v>
      </c>
      <c r="AF356" s="174">
        <f t="shared" si="210"/>
        <v>57445</v>
      </c>
      <c r="AG356" s="174">
        <f t="shared" si="210"/>
        <v>66323</v>
      </c>
      <c r="AH356" s="174">
        <f t="shared" si="210"/>
        <v>97132</v>
      </c>
      <c r="AI356" s="174">
        <f t="shared" si="210"/>
        <v>71000</v>
      </c>
      <c r="AJ356" s="174">
        <f t="shared" si="210"/>
        <v>26132</v>
      </c>
      <c r="AK356" s="174">
        <f t="shared" si="210"/>
        <v>0</v>
      </c>
      <c r="AL356" s="174">
        <f t="shared" si="210"/>
        <v>40398</v>
      </c>
      <c r="AM356" s="174">
        <f t="shared" si="210"/>
        <v>4265</v>
      </c>
      <c r="AN356" s="174">
        <f t="shared" si="210"/>
        <v>36133</v>
      </c>
      <c r="AO356" s="174">
        <f t="shared" si="210"/>
        <v>0</v>
      </c>
      <c r="AP356" s="166"/>
      <c r="AQ356" s="166"/>
      <c r="AR356" s="3"/>
      <c r="AS356" s="3"/>
      <c r="AT356" s="3"/>
      <c r="AU356" s="3"/>
      <c r="AV356" s="3"/>
      <c r="AW356" s="3"/>
      <c r="AX356" s="3"/>
      <c r="AY356" s="3"/>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c r="IB356" s="4"/>
      <c r="IC356" s="4"/>
      <c r="ID356" s="4"/>
      <c r="IE356" s="4"/>
      <c r="IF356" s="4"/>
      <c r="IG356" s="4"/>
      <c r="IH356" s="4"/>
      <c r="II356" s="4"/>
      <c r="IJ356" s="4"/>
      <c r="IK356" s="4"/>
      <c r="IL356" s="4"/>
      <c r="IM356" s="4"/>
    </row>
    <row r="357" spans="1:247" s="4" customFormat="1" ht="78" customHeight="1" x14ac:dyDescent="0.3">
      <c r="A357" s="89">
        <v>1</v>
      </c>
      <c r="B357" s="123" t="s">
        <v>644</v>
      </c>
      <c r="C357" s="91" t="s">
        <v>635</v>
      </c>
      <c r="D357" s="145">
        <v>2020</v>
      </c>
      <c r="E357" s="146">
        <v>2022</v>
      </c>
      <c r="F357" s="93" t="s">
        <v>645</v>
      </c>
      <c r="G357" s="97">
        <f t="shared" ref="G357:G361" si="211">SUM(H357:J357)</f>
        <v>10901</v>
      </c>
      <c r="H357" s="97"/>
      <c r="I357" s="97">
        <v>10901</v>
      </c>
      <c r="J357" s="97"/>
      <c r="K357" s="148">
        <v>10720</v>
      </c>
      <c r="L357" s="97">
        <f t="shared" ref="L357:L361" si="212">M357+N357+O357</f>
        <v>10287</v>
      </c>
      <c r="M357" s="97"/>
      <c r="N357" s="97">
        <v>10287</v>
      </c>
      <c r="O357" s="97"/>
      <c r="P357" s="97">
        <f>K357-L357</f>
        <v>433</v>
      </c>
      <c r="Q357" s="97"/>
      <c r="R357" s="97">
        <f>K357-L357</f>
        <v>433</v>
      </c>
      <c r="S357" s="97"/>
      <c r="T357" s="148"/>
      <c r="U357" s="22">
        <f t="shared" ref="U357" si="213">SUM(V357:AA357)</f>
        <v>195</v>
      </c>
      <c r="V357" s="22"/>
      <c r="W357" s="22"/>
      <c r="X357" s="22">
        <v>195</v>
      </c>
      <c r="Y357" s="22"/>
      <c r="Z357" s="22"/>
      <c r="AA357" s="22"/>
      <c r="AB357" s="97">
        <f>P357+T357-U357</f>
        <v>238</v>
      </c>
      <c r="AC357" s="97"/>
      <c r="AD357" s="97">
        <f>R357-X357</f>
        <v>238</v>
      </c>
      <c r="AE357" s="97"/>
      <c r="AF357" s="175"/>
      <c r="AG357" s="175">
        <f>K357</f>
        <v>10720</v>
      </c>
      <c r="AH357" s="191">
        <f t="shared" ref="AH357:AH361" si="214">L357+U357</f>
        <v>10482</v>
      </c>
      <c r="AI357" s="191"/>
      <c r="AJ357" s="191">
        <f>N357+X357+Y357</f>
        <v>10482</v>
      </c>
      <c r="AK357" s="191"/>
      <c r="AL357" s="191">
        <f>AG357-AH357</f>
        <v>238</v>
      </c>
      <c r="AM357" s="175"/>
      <c r="AN357" s="175">
        <f>AL357</f>
        <v>238</v>
      </c>
      <c r="AO357" s="175"/>
      <c r="AP357" s="166"/>
      <c r="AQ357" s="166"/>
      <c r="AR357" s="3"/>
      <c r="AS357" s="3"/>
      <c r="AT357" s="3"/>
      <c r="AU357" s="3"/>
      <c r="AV357" s="3"/>
      <c r="AW357" s="3"/>
      <c r="AX357" s="3"/>
      <c r="AY357" s="3"/>
    </row>
    <row r="358" spans="1:247" s="4" customFormat="1" ht="78" customHeight="1" x14ac:dyDescent="0.3">
      <c r="A358" s="89">
        <v>2</v>
      </c>
      <c r="B358" s="123" t="s">
        <v>646</v>
      </c>
      <c r="C358" s="91" t="s">
        <v>635</v>
      </c>
      <c r="D358" s="145" t="s">
        <v>61</v>
      </c>
      <c r="E358" s="146" t="s">
        <v>150</v>
      </c>
      <c r="F358" s="93" t="s">
        <v>647</v>
      </c>
      <c r="G358" s="97">
        <f t="shared" si="211"/>
        <v>27000</v>
      </c>
      <c r="H358" s="97">
        <v>26000</v>
      </c>
      <c r="I358" s="97">
        <v>1000</v>
      </c>
      <c r="J358" s="97"/>
      <c r="K358" s="148">
        <v>26265</v>
      </c>
      <c r="L358" s="97">
        <f t="shared" si="212"/>
        <v>21420</v>
      </c>
      <c r="M358" s="97">
        <v>21000</v>
      </c>
      <c r="N358" s="97">
        <v>420</v>
      </c>
      <c r="O358" s="97"/>
      <c r="P358" s="97">
        <f>K358-L358</f>
        <v>4845</v>
      </c>
      <c r="Q358" s="97">
        <f>P358-R358</f>
        <v>4265</v>
      </c>
      <c r="R358" s="97">
        <f>I358-N358</f>
        <v>580</v>
      </c>
      <c r="S358" s="97"/>
      <c r="T358" s="148"/>
      <c r="U358" s="22">
        <f>SUM(V358:AA358)</f>
        <v>100</v>
      </c>
      <c r="V358" s="22"/>
      <c r="W358" s="22"/>
      <c r="X358" s="22">
        <v>100</v>
      </c>
      <c r="Y358" s="22"/>
      <c r="Z358" s="22"/>
      <c r="AA358" s="22"/>
      <c r="AB358" s="97">
        <f>P358+T358-U358</f>
        <v>4745</v>
      </c>
      <c r="AC358" s="97">
        <f>AB358-AD358</f>
        <v>4265</v>
      </c>
      <c r="AD358" s="97">
        <f>R358-(X358+Y358)</f>
        <v>480</v>
      </c>
      <c r="AE358" s="97"/>
      <c r="AF358" s="175"/>
      <c r="AG358" s="175">
        <v>26265</v>
      </c>
      <c r="AH358" s="191">
        <f t="shared" si="214"/>
        <v>21520</v>
      </c>
      <c r="AI358" s="191">
        <f>M358+V358+W358</f>
        <v>21000</v>
      </c>
      <c r="AJ358" s="191">
        <f>N358+X358+Y358</f>
        <v>520</v>
      </c>
      <c r="AK358" s="191"/>
      <c r="AL358" s="191">
        <f>AG358-AH358</f>
        <v>4745</v>
      </c>
      <c r="AM358" s="175">
        <f>AC358</f>
        <v>4265</v>
      </c>
      <c r="AN358" s="175">
        <f>AD358</f>
        <v>480</v>
      </c>
      <c r="AO358" s="175"/>
      <c r="AP358" s="166"/>
      <c r="AQ358" s="166"/>
      <c r="AR358" s="3"/>
      <c r="AS358" s="3"/>
      <c r="AT358" s="3"/>
      <c r="AU358" s="3"/>
      <c r="AV358" s="3"/>
      <c r="AW358" s="3"/>
      <c r="AX358" s="3"/>
      <c r="AY358" s="3"/>
    </row>
    <row r="359" spans="1:247" s="4" customFormat="1" ht="78" customHeight="1" x14ac:dyDescent="0.3">
      <c r="A359" s="89">
        <v>3</v>
      </c>
      <c r="B359" s="123" t="s">
        <v>648</v>
      </c>
      <c r="C359" s="91" t="s">
        <v>635</v>
      </c>
      <c r="D359" s="145"/>
      <c r="E359" s="146"/>
      <c r="F359" s="93" t="s">
        <v>649</v>
      </c>
      <c r="G359" s="97">
        <f t="shared" si="211"/>
        <v>65000</v>
      </c>
      <c r="H359" s="97">
        <v>50000</v>
      </c>
      <c r="I359" s="97">
        <v>15000</v>
      </c>
      <c r="J359" s="97"/>
      <c r="K359" s="148">
        <v>56694</v>
      </c>
      <c r="L359" s="97">
        <f t="shared" si="212"/>
        <v>51500</v>
      </c>
      <c r="M359" s="97">
        <v>50000</v>
      </c>
      <c r="N359" s="97">
        <v>1500</v>
      </c>
      <c r="O359" s="97"/>
      <c r="P359" s="97">
        <f>K359-L359</f>
        <v>5194</v>
      </c>
      <c r="Q359" s="97"/>
      <c r="R359" s="97">
        <f>K359-L359</f>
        <v>5194</v>
      </c>
      <c r="S359" s="97"/>
      <c r="T359" s="148"/>
      <c r="U359" s="22"/>
      <c r="V359" s="22"/>
      <c r="W359" s="22"/>
      <c r="X359" s="22"/>
      <c r="Y359" s="22"/>
      <c r="Z359" s="22"/>
      <c r="AA359" s="22"/>
      <c r="AB359" s="97">
        <f>P359+T359-U359</f>
        <v>5194</v>
      </c>
      <c r="AC359" s="97"/>
      <c r="AD359" s="97">
        <f>R359</f>
        <v>5194</v>
      </c>
      <c r="AE359" s="97"/>
      <c r="AF359" s="175">
        <f>K359</f>
        <v>56694</v>
      </c>
      <c r="AG359" s="175"/>
      <c r="AH359" s="191">
        <f t="shared" si="214"/>
        <v>51500</v>
      </c>
      <c r="AI359" s="191">
        <v>50000</v>
      </c>
      <c r="AJ359" s="191">
        <f>N359+X359+Y359</f>
        <v>1500</v>
      </c>
      <c r="AK359" s="191">
        <f>O359+Z359+AA359</f>
        <v>0</v>
      </c>
      <c r="AL359" s="191">
        <f>G359-AH359</f>
        <v>13500</v>
      </c>
      <c r="AM359" s="175"/>
      <c r="AN359" s="175">
        <f>I359-AJ359</f>
        <v>13500</v>
      </c>
      <c r="AO359" s="175"/>
      <c r="AP359" s="166"/>
      <c r="AQ359" s="166"/>
      <c r="AR359" s="3"/>
      <c r="AS359" s="3"/>
      <c r="AT359" s="3"/>
      <c r="AU359" s="3"/>
      <c r="AV359" s="3"/>
      <c r="AW359" s="3"/>
      <c r="AX359" s="3"/>
      <c r="AY359" s="3"/>
    </row>
    <row r="360" spans="1:247" s="4" customFormat="1" ht="78" customHeight="1" x14ac:dyDescent="0.3">
      <c r="A360" s="89">
        <v>4</v>
      </c>
      <c r="B360" s="123" t="s">
        <v>650</v>
      </c>
      <c r="C360" s="91" t="s">
        <v>635</v>
      </c>
      <c r="D360" s="145">
        <v>2022</v>
      </c>
      <c r="E360" s="146">
        <v>2024</v>
      </c>
      <c r="F360" s="93" t="s">
        <v>651</v>
      </c>
      <c r="G360" s="97">
        <f t="shared" si="211"/>
        <v>30000</v>
      </c>
      <c r="H360" s="97"/>
      <c r="I360" s="97">
        <v>30000</v>
      </c>
      <c r="J360" s="97"/>
      <c r="K360" s="148">
        <v>29338</v>
      </c>
      <c r="L360" s="97">
        <f t="shared" si="212"/>
        <v>11000</v>
      </c>
      <c r="M360" s="97"/>
      <c r="N360" s="97">
        <v>11000</v>
      </c>
      <c r="O360" s="97"/>
      <c r="P360" s="97">
        <f>K360-L360</f>
        <v>18338</v>
      </c>
      <c r="Q360" s="97"/>
      <c r="R360" s="97">
        <f>K360-N360</f>
        <v>18338</v>
      </c>
      <c r="S360" s="97"/>
      <c r="T360" s="148"/>
      <c r="U360" s="22">
        <f>SUM(V360:AA360)</f>
        <v>2000</v>
      </c>
      <c r="V360" s="22"/>
      <c r="W360" s="22"/>
      <c r="X360" s="22">
        <v>2000</v>
      </c>
      <c r="Y360" s="22"/>
      <c r="Z360" s="22"/>
      <c r="AA360" s="22"/>
      <c r="AB360" s="97">
        <f>P360+T360-U360</f>
        <v>16338</v>
      </c>
      <c r="AC360" s="97"/>
      <c r="AD360" s="97">
        <f>R360+T360-X360-Y360</f>
        <v>16338</v>
      </c>
      <c r="AE360" s="97"/>
      <c r="AF360" s="175"/>
      <c r="AG360" s="175">
        <v>29338</v>
      </c>
      <c r="AH360" s="191">
        <f t="shared" si="214"/>
        <v>13000</v>
      </c>
      <c r="AI360" s="191"/>
      <c r="AJ360" s="191">
        <f>N360+X360+Y360</f>
        <v>13000</v>
      </c>
      <c r="AK360" s="191"/>
      <c r="AL360" s="191">
        <f>AG360-AH360</f>
        <v>16338</v>
      </c>
      <c r="AM360" s="175"/>
      <c r="AN360" s="175">
        <f>AG360-AJ360</f>
        <v>16338</v>
      </c>
      <c r="AO360" s="175"/>
      <c r="AP360" s="166"/>
      <c r="AQ360" s="166"/>
      <c r="AR360" s="3"/>
      <c r="AS360" s="3"/>
      <c r="AT360" s="3"/>
      <c r="AU360" s="3"/>
      <c r="AV360" s="3"/>
      <c r="AW360" s="3"/>
      <c r="AX360" s="3"/>
      <c r="AY360" s="3"/>
    </row>
    <row r="361" spans="1:247" s="4" customFormat="1" ht="78" customHeight="1" x14ac:dyDescent="0.3">
      <c r="A361" s="89">
        <v>5</v>
      </c>
      <c r="B361" s="123" t="s">
        <v>652</v>
      </c>
      <c r="C361" s="91" t="s">
        <v>635</v>
      </c>
      <c r="D361" s="145">
        <v>2023</v>
      </c>
      <c r="E361" s="146">
        <v>2025</v>
      </c>
      <c r="F361" s="93" t="s">
        <v>653</v>
      </c>
      <c r="G361" s="97">
        <f t="shared" si="211"/>
        <v>6207</v>
      </c>
      <c r="H361" s="97"/>
      <c r="I361" s="97">
        <v>6207</v>
      </c>
      <c r="J361" s="97"/>
      <c r="K361" s="148">
        <v>500</v>
      </c>
      <c r="L361" s="97">
        <f t="shared" si="212"/>
        <v>500</v>
      </c>
      <c r="M361" s="97"/>
      <c r="N361" s="97">
        <v>500</v>
      </c>
      <c r="O361" s="97"/>
      <c r="P361" s="97"/>
      <c r="Q361" s="97"/>
      <c r="R361" s="97"/>
      <c r="S361" s="97"/>
      <c r="T361" s="148">
        <v>251</v>
      </c>
      <c r="U361" s="22">
        <f>SUM(V361:AA361)</f>
        <v>130</v>
      </c>
      <c r="V361" s="22"/>
      <c r="W361" s="22"/>
      <c r="X361" s="22"/>
      <c r="Y361" s="22">
        <v>130</v>
      </c>
      <c r="Z361" s="22"/>
      <c r="AA361" s="22"/>
      <c r="AB361" s="97">
        <f>P361+T361-U361</f>
        <v>121</v>
      </c>
      <c r="AC361" s="97"/>
      <c r="AD361" s="97">
        <f>T361-X361-Y361</f>
        <v>121</v>
      </c>
      <c r="AE361" s="97"/>
      <c r="AF361" s="175">
        <f>K361+T361</f>
        <v>751</v>
      </c>
      <c r="AG361" s="175"/>
      <c r="AH361" s="191">
        <f t="shared" si="214"/>
        <v>630</v>
      </c>
      <c r="AI361" s="191"/>
      <c r="AJ361" s="191">
        <f>N361+X361+Y361</f>
        <v>630</v>
      </c>
      <c r="AK361" s="191"/>
      <c r="AL361" s="191">
        <f>G361-AH361</f>
        <v>5577</v>
      </c>
      <c r="AM361" s="175"/>
      <c r="AN361" s="175">
        <f>I361-AJ361</f>
        <v>5577</v>
      </c>
      <c r="AO361" s="175"/>
      <c r="AP361" s="166"/>
      <c r="AQ361" s="166"/>
      <c r="AR361" s="3"/>
      <c r="AS361" s="3"/>
      <c r="AT361" s="3"/>
      <c r="AU361" s="3"/>
      <c r="AV361" s="3"/>
      <c r="AW361" s="3"/>
      <c r="AX361" s="3"/>
      <c r="AY361" s="3"/>
    </row>
    <row r="362" spans="1:247" ht="18" customHeight="1" x14ac:dyDescent="0.3">
      <c r="A362" s="16">
        <v>18</v>
      </c>
      <c r="B362" s="20" t="s">
        <v>654</v>
      </c>
      <c r="C362" s="20"/>
      <c r="D362" s="20"/>
      <c r="E362" s="20"/>
      <c r="F362" s="20"/>
      <c r="G362" s="72">
        <f>SUM(G363:G366)</f>
        <v>21882</v>
      </c>
      <c r="H362" s="72">
        <f t="shared" ref="H362:AO362" si="215">SUM(H363:H366)</f>
        <v>6000</v>
      </c>
      <c r="I362" s="72">
        <f t="shared" si="215"/>
        <v>15882</v>
      </c>
      <c r="J362" s="72">
        <f t="shared" si="215"/>
        <v>0</v>
      </c>
      <c r="K362" s="72">
        <f t="shared" si="215"/>
        <v>20205</v>
      </c>
      <c r="L362" s="72">
        <f t="shared" si="215"/>
        <v>15639</v>
      </c>
      <c r="M362" s="72">
        <f t="shared" si="215"/>
        <v>5250</v>
      </c>
      <c r="N362" s="72">
        <f t="shared" si="215"/>
        <v>10389</v>
      </c>
      <c r="O362" s="72">
        <f t="shared" si="215"/>
        <v>0</v>
      </c>
      <c r="P362" s="72">
        <f t="shared" si="215"/>
        <v>4566</v>
      </c>
      <c r="Q362" s="72">
        <f t="shared" si="215"/>
        <v>750</v>
      </c>
      <c r="R362" s="72">
        <f t="shared" si="215"/>
        <v>3816</v>
      </c>
      <c r="S362" s="72">
        <f t="shared" si="215"/>
        <v>0</v>
      </c>
      <c r="T362" s="72">
        <f t="shared" si="215"/>
        <v>0</v>
      </c>
      <c r="U362" s="72">
        <f t="shared" si="215"/>
        <v>1856</v>
      </c>
      <c r="V362" s="72">
        <f t="shared" si="215"/>
        <v>0</v>
      </c>
      <c r="W362" s="72">
        <f t="shared" si="215"/>
        <v>0</v>
      </c>
      <c r="X362" s="72">
        <f t="shared" si="215"/>
        <v>770</v>
      </c>
      <c r="Y362" s="72">
        <f t="shared" si="215"/>
        <v>1086</v>
      </c>
      <c r="Z362" s="72">
        <f t="shared" si="215"/>
        <v>0</v>
      </c>
      <c r="AA362" s="72">
        <f t="shared" si="215"/>
        <v>0</v>
      </c>
      <c r="AB362" s="72">
        <f t="shared" si="215"/>
        <v>3796</v>
      </c>
      <c r="AC362" s="72">
        <f t="shared" si="215"/>
        <v>750</v>
      </c>
      <c r="AD362" s="72">
        <f t="shared" si="215"/>
        <v>3046</v>
      </c>
      <c r="AE362" s="72">
        <f t="shared" si="215"/>
        <v>0</v>
      </c>
      <c r="AF362" s="195">
        <f t="shared" si="215"/>
        <v>0</v>
      </c>
      <c r="AG362" s="195">
        <f t="shared" si="215"/>
        <v>19291</v>
      </c>
      <c r="AH362" s="195">
        <f t="shared" si="215"/>
        <v>17495</v>
      </c>
      <c r="AI362" s="195">
        <f t="shared" si="215"/>
        <v>5250</v>
      </c>
      <c r="AJ362" s="195">
        <f t="shared" si="215"/>
        <v>12245</v>
      </c>
      <c r="AK362" s="195">
        <f t="shared" si="215"/>
        <v>0</v>
      </c>
      <c r="AL362" s="195">
        <f t="shared" si="215"/>
        <v>4187</v>
      </c>
      <c r="AM362" s="195">
        <f t="shared" si="215"/>
        <v>750</v>
      </c>
      <c r="AN362" s="195">
        <f t="shared" si="215"/>
        <v>3437</v>
      </c>
      <c r="AO362" s="195">
        <f t="shared" si="215"/>
        <v>0</v>
      </c>
      <c r="AP362" s="196"/>
      <c r="AQ362" s="196"/>
      <c r="AR362" s="160"/>
      <c r="AS362" s="160"/>
      <c r="AT362" s="160"/>
      <c r="AU362" s="160"/>
      <c r="AV362" s="160"/>
      <c r="AW362" s="160"/>
      <c r="AX362" s="160"/>
      <c r="AY362" s="160"/>
      <c r="AZ362" s="160"/>
      <c r="BA362" s="160"/>
      <c r="BB362" s="160"/>
      <c r="BC362" s="160"/>
      <c r="BD362" s="160"/>
      <c r="BE362" s="160"/>
      <c r="BF362" s="160"/>
      <c r="BG362" s="160"/>
      <c r="BH362" s="160"/>
      <c r="BI362" s="160"/>
      <c r="BJ362" s="160"/>
      <c r="BK362" s="160"/>
      <c r="BL362" s="160"/>
      <c r="BM362" s="160"/>
      <c r="BN362" s="160"/>
      <c r="BO362" s="160"/>
      <c r="BP362" s="160"/>
      <c r="BQ362" s="160"/>
      <c r="BR362" s="160"/>
      <c r="BS362" s="160"/>
      <c r="BT362" s="160"/>
      <c r="BU362" s="160"/>
      <c r="BV362" s="160"/>
      <c r="BW362" s="160"/>
      <c r="BX362" s="160"/>
      <c r="BY362" s="160"/>
      <c r="BZ362" s="160"/>
      <c r="CA362" s="160"/>
      <c r="CB362" s="160"/>
      <c r="CC362" s="160"/>
      <c r="CD362" s="160"/>
      <c r="CE362" s="160"/>
      <c r="CF362" s="160"/>
      <c r="CG362" s="160"/>
      <c r="CH362" s="160"/>
      <c r="CI362" s="160"/>
      <c r="CJ362" s="160"/>
      <c r="CK362" s="160"/>
      <c r="CL362" s="160"/>
      <c r="CM362" s="160"/>
      <c r="CN362" s="160"/>
      <c r="CO362" s="160"/>
      <c r="CP362" s="160"/>
      <c r="CQ362" s="160"/>
      <c r="CR362" s="160"/>
      <c r="CS362" s="160"/>
      <c r="CT362" s="160"/>
      <c r="CU362" s="160"/>
      <c r="CV362" s="160"/>
      <c r="CW362" s="160"/>
      <c r="CX362" s="160"/>
      <c r="CY362" s="160"/>
      <c r="CZ362" s="160"/>
      <c r="DA362" s="160"/>
      <c r="DB362" s="160"/>
      <c r="DC362" s="160"/>
      <c r="DD362" s="160"/>
      <c r="DE362" s="160"/>
      <c r="DF362" s="160"/>
      <c r="DG362" s="160"/>
      <c r="DH362" s="160"/>
      <c r="DI362" s="160"/>
      <c r="DJ362" s="160"/>
      <c r="DK362" s="160"/>
      <c r="DL362" s="160"/>
      <c r="DM362" s="160"/>
      <c r="DN362" s="160"/>
      <c r="DO362" s="160"/>
      <c r="DP362" s="160"/>
      <c r="DQ362" s="160"/>
      <c r="DR362" s="160"/>
      <c r="DS362" s="160"/>
      <c r="DT362" s="160"/>
      <c r="DU362" s="160"/>
      <c r="DV362" s="160"/>
      <c r="DW362" s="160"/>
      <c r="DX362" s="160"/>
      <c r="DY362" s="160"/>
      <c r="DZ362" s="160"/>
      <c r="EA362" s="160"/>
      <c r="EB362" s="160"/>
      <c r="EC362" s="160"/>
      <c r="ED362" s="160"/>
      <c r="EE362" s="160"/>
      <c r="EF362" s="160"/>
      <c r="EG362" s="160"/>
      <c r="EH362" s="160"/>
      <c r="EI362" s="160"/>
      <c r="EJ362" s="160"/>
      <c r="EK362" s="160"/>
      <c r="EL362" s="160"/>
      <c r="EM362" s="160"/>
      <c r="EN362" s="160"/>
      <c r="EO362" s="160"/>
      <c r="EP362" s="160"/>
      <c r="EQ362" s="160"/>
      <c r="ER362" s="160"/>
      <c r="ES362" s="160"/>
      <c r="ET362" s="160"/>
      <c r="EU362" s="160"/>
      <c r="EV362" s="160"/>
      <c r="EW362" s="160"/>
      <c r="EX362" s="160"/>
      <c r="EY362" s="160"/>
      <c r="EZ362" s="160"/>
      <c r="FA362" s="160"/>
      <c r="FB362" s="160"/>
      <c r="FC362" s="160"/>
      <c r="FD362" s="160"/>
      <c r="FE362" s="160"/>
      <c r="FF362" s="160"/>
      <c r="FG362" s="160"/>
      <c r="FH362" s="160"/>
      <c r="FI362" s="160"/>
      <c r="FJ362" s="160"/>
      <c r="FK362" s="160"/>
      <c r="FL362" s="160"/>
      <c r="FM362" s="160"/>
      <c r="FN362" s="160"/>
      <c r="FO362" s="160"/>
      <c r="FP362" s="160"/>
      <c r="FQ362" s="160"/>
      <c r="FR362" s="160"/>
      <c r="FS362" s="160"/>
      <c r="FT362" s="160"/>
      <c r="FU362" s="160"/>
      <c r="FV362" s="160"/>
      <c r="FW362" s="160"/>
      <c r="FX362" s="160"/>
      <c r="FY362" s="160"/>
      <c r="FZ362" s="160"/>
      <c r="GA362" s="160"/>
      <c r="GB362" s="160"/>
      <c r="GC362" s="160"/>
      <c r="GD362" s="160"/>
      <c r="GE362" s="160"/>
      <c r="GF362" s="160"/>
      <c r="GG362" s="160"/>
      <c r="GH362" s="160"/>
      <c r="GI362" s="160"/>
      <c r="GJ362" s="160"/>
      <c r="GK362" s="160"/>
      <c r="GL362" s="160"/>
      <c r="GM362" s="160"/>
      <c r="GN362" s="160"/>
      <c r="GO362" s="160"/>
      <c r="GP362" s="160"/>
      <c r="GQ362" s="160"/>
      <c r="GR362" s="160"/>
      <c r="GS362" s="160"/>
      <c r="GT362" s="160"/>
      <c r="GU362" s="160"/>
      <c r="GV362" s="160"/>
      <c r="GW362" s="160"/>
      <c r="GX362" s="160"/>
      <c r="GY362" s="160"/>
      <c r="GZ362" s="160"/>
      <c r="HA362" s="160"/>
      <c r="HB362" s="160"/>
      <c r="HC362" s="160"/>
      <c r="HD362" s="160"/>
      <c r="HE362" s="160"/>
      <c r="HF362" s="160"/>
      <c r="HG362" s="160"/>
      <c r="HH362" s="160"/>
      <c r="HI362" s="160"/>
      <c r="HJ362" s="160"/>
      <c r="HK362" s="160"/>
      <c r="HL362" s="160"/>
      <c r="HM362" s="160"/>
      <c r="HN362" s="160"/>
      <c r="HO362" s="160"/>
      <c r="HP362" s="160"/>
      <c r="HQ362" s="160"/>
      <c r="HR362" s="160"/>
      <c r="HS362" s="160"/>
      <c r="HT362" s="160"/>
      <c r="HU362" s="160"/>
      <c r="HV362" s="160"/>
      <c r="HW362" s="160"/>
      <c r="HX362" s="160"/>
      <c r="HY362" s="160"/>
      <c r="HZ362" s="160"/>
      <c r="IA362" s="160"/>
      <c r="IB362" s="160"/>
      <c r="IC362" s="160"/>
      <c r="ID362" s="160"/>
      <c r="IE362" s="160"/>
      <c r="IF362" s="160"/>
      <c r="IG362" s="160"/>
      <c r="IH362" s="160"/>
      <c r="II362" s="160"/>
      <c r="IJ362" s="160"/>
      <c r="IK362" s="160"/>
      <c r="IL362" s="160"/>
      <c r="IM362" s="160"/>
    </row>
    <row r="363" spans="1:247" s="4" customFormat="1" ht="78" customHeight="1" x14ac:dyDescent="0.3">
      <c r="A363" s="89">
        <v>1</v>
      </c>
      <c r="B363" s="123" t="s">
        <v>655</v>
      </c>
      <c r="C363" s="91" t="s">
        <v>656</v>
      </c>
      <c r="D363" s="145">
        <v>2022</v>
      </c>
      <c r="E363" s="146" t="s">
        <v>415</v>
      </c>
      <c r="F363" s="93" t="s">
        <v>657</v>
      </c>
      <c r="G363" s="97">
        <v>5000</v>
      </c>
      <c r="H363" s="97"/>
      <c r="I363" s="97">
        <v>5000</v>
      </c>
      <c r="J363" s="97"/>
      <c r="K363" s="148">
        <v>4880</v>
      </c>
      <c r="L363" s="97">
        <f t="shared" ref="L363" si="216">M363+N363+O363</f>
        <v>3718</v>
      </c>
      <c r="M363" s="97"/>
      <c r="N363" s="97">
        <v>3718</v>
      </c>
      <c r="O363" s="97"/>
      <c r="P363" s="97">
        <f>K363-L363</f>
        <v>1162</v>
      </c>
      <c r="Q363" s="97"/>
      <c r="R363" s="97">
        <f>P363</f>
        <v>1162</v>
      </c>
      <c r="S363" s="97"/>
      <c r="T363" s="148"/>
      <c r="U363" s="22">
        <f>SUM(V363:AA363)</f>
        <v>378</v>
      </c>
      <c r="V363" s="22"/>
      <c r="W363" s="22"/>
      <c r="X363" s="22">
        <v>378</v>
      </c>
      <c r="Y363" s="22"/>
      <c r="Z363" s="22"/>
      <c r="AA363" s="22"/>
      <c r="AB363" s="97">
        <f>P363+T363-U363</f>
        <v>784</v>
      </c>
      <c r="AC363" s="97"/>
      <c r="AD363" s="97">
        <f>AB363</f>
        <v>784</v>
      </c>
      <c r="AE363" s="97"/>
      <c r="AF363" s="175"/>
      <c r="AG363" s="175">
        <v>4880</v>
      </c>
      <c r="AH363" s="191">
        <f>L363+U363</f>
        <v>4096</v>
      </c>
      <c r="AI363" s="191"/>
      <c r="AJ363" s="191">
        <v>4096</v>
      </c>
      <c r="AK363" s="191"/>
      <c r="AL363" s="191">
        <f>AG363-AH363</f>
        <v>784</v>
      </c>
      <c r="AM363" s="175"/>
      <c r="AN363" s="175">
        <f>AL363</f>
        <v>784</v>
      </c>
      <c r="AO363" s="175"/>
      <c r="AP363" s="166"/>
      <c r="AQ363" s="166"/>
      <c r="AR363" s="3"/>
      <c r="AS363" s="3"/>
      <c r="AT363" s="3"/>
      <c r="AU363" s="3"/>
      <c r="AV363" s="3"/>
      <c r="AW363" s="3"/>
      <c r="AX363" s="3"/>
      <c r="AY363" s="3"/>
    </row>
    <row r="364" spans="1:247" s="4" customFormat="1" ht="78" customHeight="1" x14ac:dyDescent="0.3">
      <c r="A364" s="89">
        <v>2</v>
      </c>
      <c r="B364" s="123" t="s">
        <v>658</v>
      </c>
      <c r="C364" s="91" t="s">
        <v>656</v>
      </c>
      <c r="D364" s="145">
        <v>2023</v>
      </c>
      <c r="E364" s="146" t="s">
        <v>415</v>
      </c>
      <c r="F364" s="93" t="s">
        <v>659</v>
      </c>
      <c r="G364" s="97">
        <v>2391</v>
      </c>
      <c r="H364" s="97"/>
      <c r="I364" s="97">
        <v>2391</v>
      </c>
      <c r="J364" s="97"/>
      <c r="K364" s="148">
        <v>914</v>
      </c>
      <c r="L364" s="97">
        <v>800</v>
      </c>
      <c r="M364" s="97"/>
      <c r="N364" s="97">
        <v>800</v>
      </c>
      <c r="O364" s="97"/>
      <c r="P364" s="97">
        <f>K364-L364</f>
        <v>114</v>
      </c>
      <c r="Q364" s="97"/>
      <c r="R364" s="97">
        <f>P364</f>
        <v>114</v>
      </c>
      <c r="S364" s="97"/>
      <c r="T364" s="148"/>
      <c r="U364" s="22">
        <f>SUM(V364:AA364)</f>
        <v>1200</v>
      </c>
      <c r="V364" s="22"/>
      <c r="W364" s="22"/>
      <c r="X364" s="22">
        <v>114</v>
      </c>
      <c r="Y364" s="22">
        <f>1200-114</f>
        <v>1086</v>
      </c>
      <c r="Z364" s="22"/>
      <c r="AA364" s="22"/>
      <c r="AB364" s="97"/>
      <c r="AC364" s="97"/>
      <c r="AD364" s="97"/>
      <c r="AE364" s="97"/>
      <c r="AF364" s="175"/>
      <c r="AG364" s="175"/>
      <c r="AH364" s="191">
        <f>L364+U364</f>
        <v>2000</v>
      </c>
      <c r="AI364" s="191"/>
      <c r="AJ364" s="191">
        <f>AH364</f>
        <v>2000</v>
      </c>
      <c r="AK364" s="191"/>
      <c r="AL364" s="191">
        <f>G364-AH364</f>
        <v>391</v>
      </c>
      <c r="AM364" s="175"/>
      <c r="AN364" s="175">
        <f t="shared" ref="AN364" si="217">AL364</f>
        <v>391</v>
      </c>
      <c r="AO364" s="175"/>
      <c r="AP364" s="166"/>
      <c r="AQ364" s="166"/>
      <c r="AR364" s="3"/>
      <c r="AS364" s="3"/>
      <c r="AT364" s="3"/>
      <c r="AU364" s="3"/>
      <c r="AV364" s="3"/>
      <c r="AW364" s="3"/>
      <c r="AX364" s="3"/>
      <c r="AY364" s="3"/>
    </row>
    <row r="365" spans="1:247" s="4" customFormat="1" ht="78" customHeight="1" x14ac:dyDescent="0.3">
      <c r="A365" s="89">
        <v>3</v>
      </c>
      <c r="B365" s="123" t="s">
        <v>660</v>
      </c>
      <c r="C365" s="91" t="s">
        <v>656</v>
      </c>
      <c r="D365" s="145" t="s">
        <v>61</v>
      </c>
      <c r="E365" s="146" t="s">
        <v>132</v>
      </c>
      <c r="F365" s="93" t="s">
        <v>661</v>
      </c>
      <c r="G365" s="97">
        <v>9491</v>
      </c>
      <c r="H365" s="97">
        <v>6000</v>
      </c>
      <c r="I365" s="97">
        <v>3491</v>
      </c>
      <c r="J365" s="97"/>
      <c r="K365" s="148">
        <v>9436</v>
      </c>
      <c r="L365" s="97">
        <f>SUM(M365:O365)</f>
        <v>8541</v>
      </c>
      <c r="M365" s="97">
        <v>5250</v>
      </c>
      <c r="N365" s="97">
        <v>3291</v>
      </c>
      <c r="O365" s="97"/>
      <c r="P365" s="97">
        <f>K365-L365</f>
        <v>895</v>
      </c>
      <c r="Q365" s="97">
        <f>H365-M365</f>
        <v>750</v>
      </c>
      <c r="R365" s="97">
        <f>P365-Q365</f>
        <v>145</v>
      </c>
      <c r="S365" s="97"/>
      <c r="T365" s="148"/>
      <c r="U365" s="22"/>
      <c r="V365" s="22"/>
      <c r="W365" s="22"/>
      <c r="X365" s="22"/>
      <c r="Y365" s="22"/>
      <c r="Z365" s="22"/>
      <c r="AA365" s="22"/>
      <c r="AB365" s="97">
        <v>895</v>
      </c>
      <c r="AC365" s="97">
        <v>750</v>
      </c>
      <c r="AD365" s="97">
        <v>145</v>
      </c>
      <c r="AE365" s="97"/>
      <c r="AF365" s="175"/>
      <c r="AG365" s="175">
        <v>9436</v>
      </c>
      <c r="AH365" s="191">
        <f>L365+U365</f>
        <v>8541</v>
      </c>
      <c r="AI365" s="191">
        <f t="shared" ref="AI365:AJ365" si="218">M365</f>
        <v>5250</v>
      </c>
      <c r="AJ365" s="191">
        <f t="shared" si="218"/>
        <v>3291</v>
      </c>
      <c r="AK365" s="191"/>
      <c r="AL365" s="191">
        <f>AG365-AH365</f>
        <v>895</v>
      </c>
      <c r="AM365" s="175">
        <v>750</v>
      </c>
      <c r="AN365" s="175">
        <f>AL365-AM365</f>
        <v>145</v>
      </c>
      <c r="AO365" s="175"/>
      <c r="AP365" s="166"/>
      <c r="AQ365" s="166"/>
      <c r="AR365" s="3"/>
      <c r="AS365" s="3"/>
      <c r="AT365" s="3"/>
      <c r="AU365" s="3"/>
      <c r="AV365" s="3"/>
      <c r="AW365" s="3"/>
      <c r="AX365" s="3"/>
      <c r="AY365" s="3"/>
    </row>
    <row r="366" spans="1:247" s="4" customFormat="1" ht="78" customHeight="1" x14ac:dyDescent="0.3">
      <c r="A366" s="89">
        <v>4</v>
      </c>
      <c r="B366" s="123" t="s">
        <v>662</v>
      </c>
      <c r="C366" s="91" t="s">
        <v>656</v>
      </c>
      <c r="D366" s="145" t="s">
        <v>132</v>
      </c>
      <c r="E366" s="146" t="s">
        <v>150</v>
      </c>
      <c r="F366" s="93" t="s">
        <v>663</v>
      </c>
      <c r="G366" s="97">
        <v>5000</v>
      </c>
      <c r="H366" s="97"/>
      <c r="I366" s="97">
        <v>5000</v>
      </c>
      <c r="J366" s="97"/>
      <c r="K366" s="148">
        <v>4975</v>
      </c>
      <c r="L366" s="97">
        <v>2580</v>
      </c>
      <c r="M366" s="97"/>
      <c r="N366" s="97">
        <v>2580</v>
      </c>
      <c r="O366" s="97"/>
      <c r="P366" s="97">
        <f>K366-L366</f>
        <v>2395</v>
      </c>
      <c r="Q366" s="97"/>
      <c r="R366" s="97">
        <f>P366</f>
        <v>2395</v>
      </c>
      <c r="S366" s="97"/>
      <c r="T366" s="148"/>
      <c r="U366" s="22">
        <v>278</v>
      </c>
      <c r="V366" s="22"/>
      <c r="W366" s="22"/>
      <c r="X366" s="22">
        <v>278</v>
      </c>
      <c r="Y366" s="22"/>
      <c r="Z366" s="22"/>
      <c r="AA366" s="22"/>
      <c r="AB366" s="97">
        <f>P366-U366</f>
        <v>2117</v>
      </c>
      <c r="AC366" s="97"/>
      <c r="AD366" s="97">
        <f>AB366</f>
        <v>2117</v>
      </c>
      <c r="AE366" s="97"/>
      <c r="AF366" s="175"/>
      <c r="AG366" s="175">
        <v>4975</v>
      </c>
      <c r="AH366" s="191">
        <v>2858</v>
      </c>
      <c r="AI366" s="191"/>
      <c r="AJ366" s="191">
        <v>2858</v>
      </c>
      <c r="AK366" s="191"/>
      <c r="AL366" s="191">
        <f>AG366-AH366</f>
        <v>2117</v>
      </c>
      <c r="AM366" s="175"/>
      <c r="AN366" s="175">
        <f>AL366</f>
        <v>2117</v>
      </c>
      <c r="AO366" s="175"/>
      <c r="AP366" s="166"/>
      <c r="AQ366" s="166"/>
      <c r="AR366" s="3"/>
      <c r="AS366" s="3"/>
      <c r="AT366" s="3"/>
      <c r="AU366" s="3"/>
      <c r="AV366" s="3"/>
      <c r="AW366" s="3"/>
      <c r="AX366" s="3"/>
      <c r="AY366" s="3"/>
    </row>
    <row r="367" spans="1:247" x14ac:dyDescent="0.3">
      <c r="A367" s="16">
        <v>19</v>
      </c>
      <c r="B367" s="20" t="s">
        <v>664</v>
      </c>
      <c r="C367" s="20"/>
      <c r="D367" s="20"/>
      <c r="E367" s="20"/>
      <c r="F367" s="20"/>
      <c r="G367" s="72">
        <f>G368</f>
        <v>11075</v>
      </c>
      <c r="H367" s="72">
        <f t="shared" ref="H367:AO367" si="219">H368</f>
        <v>0</v>
      </c>
      <c r="I367" s="72">
        <f t="shared" si="219"/>
        <v>11075</v>
      </c>
      <c r="J367" s="72">
        <f t="shared" si="219"/>
        <v>0</v>
      </c>
      <c r="K367" s="72">
        <f t="shared" si="219"/>
        <v>10152</v>
      </c>
      <c r="L367" s="72">
        <f t="shared" si="219"/>
        <v>9138</v>
      </c>
      <c r="M367" s="72">
        <f t="shared" si="219"/>
        <v>0</v>
      </c>
      <c r="N367" s="72">
        <f t="shared" si="219"/>
        <v>9138</v>
      </c>
      <c r="O367" s="72">
        <f t="shared" si="219"/>
        <v>0</v>
      </c>
      <c r="P367" s="72">
        <f t="shared" si="219"/>
        <v>1014</v>
      </c>
      <c r="Q367" s="72">
        <f t="shared" si="219"/>
        <v>0</v>
      </c>
      <c r="R367" s="72">
        <f t="shared" si="219"/>
        <v>1014</v>
      </c>
      <c r="S367" s="72">
        <f t="shared" si="219"/>
        <v>0</v>
      </c>
      <c r="T367" s="72">
        <f t="shared" si="219"/>
        <v>0</v>
      </c>
      <c r="U367" s="72">
        <f t="shared" si="219"/>
        <v>700</v>
      </c>
      <c r="V367" s="72">
        <f t="shared" si="219"/>
        <v>0</v>
      </c>
      <c r="W367" s="72">
        <f t="shared" si="219"/>
        <v>0</v>
      </c>
      <c r="X367" s="72">
        <f t="shared" si="219"/>
        <v>573</v>
      </c>
      <c r="Y367" s="72">
        <f t="shared" si="219"/>
        <v>127</v>
      </c>
      <c r="Z367" s="72">
        <f t="shared" si="219"/>
        <v>0</v>
      </c>
      <c r="AA367" s="72">
        <f t="shared" si="219"/>
        <v>0</v>
      </c>
      <c r="AB367" s="72">
        <f t="shared" si="219"/>
        <v>441</v>
      </c>
      <c r="AC367" s="72">
        <f t="shared" si="219"/>
        <v>0</v>
      </c>
      <c r="AD367" s="72">
        <f t="shared" si="219"/>
        <v>441</v>
      </c>
      <c r="AE367" s="72">
        <f t="shared" si="219"/>
        <v>0</v>
      </c>
      <c r="AF367" s="195">
        <f t="shared" si="219"/>
        <v>1408</v>
      </c>
      <c r="AG367" s="195">
        <f t="shared" si="219"/>
        <v>8744</v>
      </c>
      <c r="AH367" s="195">
        <f t="shared" si="219"/>
        <v>9838</v>
      </c>
      <c r="AI367" s="195">
        <f t="shared" si="219"/>
        <v>0</v>
      </c>
      <c r="AJ367" s="195">
        <f t="shared" si="219"/>
        <v>9838</v>
      </c>
      <c r="AK367" s="195">
        <f t="shared" si="219"/>
        <v>0</v>
      </c>
      <c r="AL367" s="195">
        <f t="shared" si="219"/>
        <v>1085</v>
      </c>
      <c r="AM367" s="195">
        <f t="shared" si="219"/>
        <v>0</v>
      </c>
      <c r="AN367" s="195">
        <f t="shared" si="219"/>
        <v>1085</v>
      </c>
      <c r="AO367" s="195">
        <f t="shared" si="219"/>
        <v>0</v>
      </c>
      <c r="AP367" s="196"/>
      <c r="AQ367" s="196"/>
      <c r="AR367" s="160"/>
      <c r="AS367" s="160"/>
      <c r="AT367" s="160"/>
      <c r="AU367" s="160"/>
      <c r="AV367" s="160"/>
      <c r="AW367" s="160"/>
      <c r="AX367" s="160"/>
      <c r="AY367" s="160"/>
      <c r="AZ367" s="160"/>
      <c r="BA367" s="160"/>
      <c r="BB367" s="160"/>
      <c r="BC367" s="160"/>
      <c r="BD367" s="160"/>
      <c r="BE367" s="160"/>
      <c r="BF367" s="160"/>
      <c r="BG367" s="160"/>
      <c r="BH367" s="160"/>
      <c r="BI367" s="160"/>
      <c r="BJ367" s="160"/>
      <c r="BK367" s="160"/>
      <c r="BL367" s="160"/>
      <c r="BM367" s="160"/>
      <c r="BN367" s="160"/>
      <c r="BO367" s="160"/>
      <c r="BP367" s="160"/>
      <c r="BQ367" s="160"/>
      <c r="BR367" s="160"/>
      <c r="BS367" s="160"/>
      <c r="BT367" s="160"/>
      <c r="BU367" s="160"/>
      <c r="BV367" s="160"/>
      <c r="BW367" s="160"/>
      <c r="BX367" s="160"/>
      <c r="BY367" s="160"/>
      <c r="BZ367" s="160"/>
      <c r="CA367" s="160"/>
      <c r="CB367" s="160"/>
      <c r="CC367" s="160"/>
      <c r="CD367" s="160"/>
      <c r="CE367" s="160"/>
      <c r="CF367" s="160"/>
      <c r="CG367" s="160"/>
      <c r="CH367" s="160"/>
      <c r="CI367" s="160"/>
      <c r="CJ367" s="160"/>
      <c r="CK367" s="160"/>
      <c r="CL367" s="160"/>
      <c r="CM367" s="160"/>
      <c r="CN367" s="160"/>
      <c r="CO367" s="160"/>
      <c r="CP367" s="160"/>
      <c r="CQ367" s="160"/>
      <c r="CR367" s="160"/>
      <c r="CS367" s="160"/>
      <c r="CT367" s="160"/>
      <c r="CU367" s="160"/>
      <c r="CV367" s="160"/>
      <c r="CW367" s="160"/>
      <c r="CX367" s="160"/>
      <c r="CY367" s="160"/>
      <c r="CZ367" s="160"/>
      <c r="DA367" s="160"/>
      <c r="DB367" s="160"/>
      <c r="DC367" s="160"/>
      <c r="DD367" s="160"/>
      <c r="DE367" s="160"/>
      <c r="DF367" s="160"/>
      <c r="DG367" s="160"/>
      <c r="DH367" s="160"/>
      <c r="DI367" s="160"/>
      <c r="DJ367" s="160"/>
      <c r="DK367" s="160"/>
      <c r="DL367" s="160"/>
      <c r="DM367" s="160"/>
      <c r="DN367" s="160"/>
      <c r="DO367" s="160"/>
      <c r="DP367" s="160"/>
      <c r="DQ367" s="160"/>
      <c r="DR367" s="160"/>
      <c r="DS367" s="160"/>
      <c r="DT367" s="160"/>
      <c r="DU367" s="160"/>
      <c r="DV367" s="160"/>
      <c r="DW367" s="160"/>
      <c r="DX367" s="160"/>
      <c r="DY367" s="160"/>
      <c r="DZ367" s="160"/>
      <c r="EA367" s="160"/>
      <c r="EB367" s="160"/>
      <c r="EC367" s="160"/>
      <c r="ED367" s="160"/>
      <c r="EE367" s="160"/>
      <c r="EF367" s="160"/>
      <c r="EG367" s="160"/>
      <c r="EH367" s="160"/>
      <c r="EI367" s="160"/>
      <c r="EJ367" s="160"/>
      <c r="EK367" s="160"/>
      <c r="EL367" s="160"/>
      <c r="EM367" s="160"/>
      <c r="EN367" s="160"/>
      <c r="EO367" s="160"/>
      <c r="EP367" s="160"/>
      <c r="EQ367" s="160"/>
      <c r="ER367" s="160"/>
      <c r="ES367" s="160"/>
      <c r="ET367" s="160"/>
      <c r="EU367" s="160"/>
      <c r="EV367" s="160"/>
      <c r="EW367" s="160"/>
      <c r="EX367" s="160"/>
      <c r="EY367" s="160"/>
      <c r="EZ367" s="160"/>
      <c r="FA367" s="160"/>
      <c r="FB367" s="160"/>
      <c r="FC367" s="160"/>
      <c r="FD367" s="160"/>
      <c r="FE367" s="160"/>
      <c r="FF367" s="160"/>
      <c r="FG367" s="160"/>
      <c r="FH367" s="160"/>
      <c r="FI367" s="160"/>
      <c r="FJ367" s="160"/>
      <c r="FK367" s="160"/>
      <c r="FL367" s="160"/>
      <c r="FM367" s="160"/>
      <c r="FN367" s="160"/>
      <c r="FO367" s="160"/>
      <c r="FP367" s="160"/>
      <c r="FQ367" s="160"/>
      <c r="FR367" s="160"/>
      <c r="FS367" s="160"/>
      <c r="FT367" s="160"/>
      <c r="FU367" s="160"/>
      <c r="FV367" s="160"/>
      <c r="FW367" s="160"/>
      <c r="FX367" s="160"/>
      <c r="FY367" s="160"/>
      <c r="FZ367" s="160"/>
      <c r="GA367" s="160"/>
      <c r="GB367" s="160"/>
      <c r="GC367" s="160"/>
      <c r="GD367" s="160"/>
      <c r="GE367" s="160"/>
      <c r="GF367" s="160"/>
      <c r="GG367" s="160"/>
      <c r="GH367" s="160"/>
      <c r="GI367" s="160"/>
      <c r="GJ367" s="160"/>
      <c r="GK367" s="160"/>
      <c r="GL367" s="160"/>
      <c r="GM367" s="160"/>
      <c r="GN367" s="160"/>
      <c r="GO367" s="160"/>
      <c r="GP367" s="160"/>
      <c r="GQ367" s="160"/>
      <c r="GR367" s="160"/>
      <c r="GS367" s="160"/>
      <c r="GT367" s="160"/>
      <c r="GU367" s="160"/>
      <c r="GV367" s="160"/>
      <c r="GW367" s="160"/>
      <c r="GX367" s="160"/>
      <c r="GY367" s="160"/>
      <c r="GZ367" s="160"/>
      <c r="HA367" s="160"/>
      <c r="HB367" s="160"/>
      <c r="HC367" s="160"/>
      <c r="HD367" s="160"/>
      <c r="HE367" s="160"/>
      <c r="HF367" s="160"/>
      <c r="HG367" s="160"/>
      <c r="HH367" s="160"/>
      <c r="HI367" s="160"/>
      <c r="HJ367" s="160"/>
      <c r="HK367" s="160"/>
      <c r="HL367" s="160"/>
      <c r="HM367" s="160"/>
      <c r="HN367" s="160"/>
      <c r="HO367" s="160"/>
      <c r="HP367" s="160"/>
      <c r="HQ367" s="160"/>
      <c r="HR367" s="160"/>
      <c r="HS367" s="160"/>
      <c r="HT367" s="160"/>
      <c r="HU367" s="160"/>
      <c r="HV367" s="160"/>
      <c r="HW367" s="160"/>
      <c r="HX367" s="160"/>
      <c r="HY367" s="160"/>
      <c r="HZ367" s="160"/>
      <c r="IA367" s="160"/>
      <c r="IB367" s="160"/>
      <c r="IC367" s="160"/>
      <c r="ID367" s="160"/>
      <c r="IE367" s="160"/>
      <c r="IF367" s="160"/>
      <c r="IG367" s="160"/>
      <c r="IH367" s="160"/>
      <c r="II367" s="160"/>
      <c r="IJ367" s="160"/>
      <c r="IK367" s="160"/>
      <c r="IL367" s="160"/>
      <c r="IM367" s="160"/>
    </row>
    <row r="368" spans="1:247" ht="26.4" x14ac:dyDescent="0.3">
      <c r="A368" s="154" t="s">
        <v>42</v>
      </c>
      <c r="B368" s="155" t="s">
        <v>643</v>
      </c>
      <c r="C368" s="156"/>
      <c r="D368" s="159"/>
      <c r="E368" s="159"/>
      <c r="F368" s="159"/>
      <c r="G368" s="87">
        <f>SUM(G369:G372)</f>
        <v>11075</v>
      </c>
      <c r="H368" s="87">
        <f t="shared" ref="H368:AO368" si="220">SUM(H369:H372)</f>
        <v>0</v>
      </c>
      <c r="I368" s="87">
        <f t="shared" si="220"/>
        <v>11075</v>
      </c>
      <c r="J368" s="87">
        <f t="shared" si="220"/>
        <v>0</v>
      </c>
      <c r="K368" s="87">
        <f t="shared" si="220"/>
        <v>10152</v>
      </c>
      <c r="L368" s="87">
        <f t="shared" si="220"/>
        <v>9138</v>
      </c>
      <c r="M368" s="87">
        <f t="shared" si="220"/>
        <v>0</v>
      </c>
      <c r="N368" s="87">
        <f t="shared" si="220"/>
        <v>9138</v>
      </c>
      <c r="O368" s="87">
        <f t="shared" si="220"/>
        <v>0</v>
      </c>
      <c r="P368" s="87">
        <f t="shared" si="220"/>
        <v>1014</v>
      </c>
      <c r="Q368" s="87">
        <f t="shared" si="220"/>
        <v>0</v>
      </c>
      <c r="R368" s="87">
        <f t="shared" si="220"/>
        <v>1014</v>
      </c>
      <c r="S368" s="87">
        <f t="shared" si="220"/>
        <v>0</v>
      </c>
      <c r="T368" s="87">
        <f t="shared" si="220"/>
        <v>0</v>
      </c>
      <c r="U368" s="87">
        <f t="shared" si="220"/>
        <v>700</v>
      </c>
      <c r="V368" s="87">
        <f t="shared" si="220"/>
        <v>0</v>
      </c>
      <c r="W368" s="87">
        <f t="shared" si="220"/>
        <v>0</v>
      </c>
      <c r="X368" s="87">
        <f t="shared" si="220"/>
        <v>573</v>
      </c>
      <c r="Y368" s="87">
        <f t="shared" si="220"/>
        <v>127</v>
      </c>
      <c r="Z368" s="87">
        <f t="shared" si="220"/>
        <v>0</v>
      </c>
      <c r="AA368" s="87">
        <f t="shared" si="220"/>
        <v>0</v>
      </c>
      <c r="AB368" s="87">
        <f t="shared" si="220"/>
        <v>441</v>
      </c>
      <c r="AC368" s="87">
        <f t="shared" si="220"/>
        <v>0</v>
      </c>
      <c r="AD368" s="87">
        <f t="shared" si="220"/>
        <v>441</v>
      </c>
      <c r="AE368" s="87">
        <f t="shared" si="220"/>
        <v>0</v>
      </c>
      <c r="AF368" s="174">
        <f t="shared" si="220"/>
        <v>1408</v>
      </c>
      <c r="AG368" s="174">
        <f t="shared" si="220"/>
        <v>8744</v>
      </c>
      <c r="AH368" s="174">
        <f t="shared" si="220"/>
        <v>9838</v>
      </c>
      <c r="AI368" s="174">
        <f t="shared" si="220"/>
        <v>0</v>
      </c>
      <c r="AJ368" s="174">
        <f t="shared" si="220"/>
        <v>9838</v>
      </c>
      <c r="AK368" s="174">
        <f t="shared" si="220"/>
        <v>0</v>
      </c>
      <c r="AL368" s="174">
        <f t="shared" si="220"/>
        <v>1085</v>
      </c>
      <c r="AM368" s="174">
        <f t="shared" si="220"/>
        <v>0</v>
      </c>
      <c r="AN368" s="174">
        <f t="shared" si="220"/>
        <v>1085</v>
      </c>
      <c r="AO368" s="174">
        <f t="shared" si="220"/>
        <v>0</v>
      </c>
      <c r="AP368" s="197"/>
      <c r="AQ368" s="197"/>
      <c r="AR368" s="161"/>
      <c r="AS368" s="161"/>
      <c r="AT368" s="161"/>
      <c r="AU368" s="161"/>
      <c r="AV368" s="161"/>
      <c r="AW368" s="161"/>
      <c r="AX368" s="161"/>
      <c r="AY368" s="161"/>
      <c r="AZ368" s="162"/>
      <c r="BA368" s="162"/>
      <c r="BB368" s="162"/>
      <c r="BC368" s="162"/>
      <c r="BD368" s="162"/>
      <c r="BE368" s="162"/>
      <c r="BF368" s="162"/>
      <c r="BG368" s="162"/>
      <c r="BH368" s="162"/>
      <c r="BI368" s="162"/>
      <c r="BJ368" s="162"/>
      <c r="BK368" s="162"/>
      <c r="BL368" s="162"/>
      <c r="BM368" s="162"/>
      <c r="BN368" s="162"/>
      <c r="BO368" s="162"/>
      <c r="BP368" s="162"/>
      <c r="BQ368" s="162"/>
      <c r="BR368" s="162"/>
      <c r="BS368" s="162"/>
      <c r="BT368" s="162"/>
      <c r="BU368" s="162"/>
      <c r="BV368" s="162"/>
      <c r="BW368" s="162"/>
      <c r="BX368" s="162"/>
      <c r="BY368" s="162"/>
      <c r="BZ368" s="162"/>
      <c r="CA368" s="162"/>
      <c r="CB368" s="162"/>
      <c r="CC368" s="162"/>
      <c r="CD368" s="162"/>
      <c r="CE368" s="162"/>
      <c r="CF368" s="162"/>
      <c r="CG368" s="162"/>
      <c r="CH368" s="162"/>
      <c r="CI368" s="162"/>
      <c r="CJ368" s="162"/>
      <c r="CK368" s="162"/>
      <c r="CL368" s="162"/>
      <c r="CM368" s="162"/>
      <c r="CN368" s="162"/>
      <c r="CO368" s="162"/>
      <c r="CP368" s="162"/>
      <c r="CQ368" s="162"/>
      <c r="CR368" s="162"/>
      <c r="CS368" s="162"/>
      <c r="CT368" s="162"/>
      <c r="CU368" s="162"/>
      <c r="CV368" s="162"/>
      <c r="CW368" s="162"/>
      <c r="CX368" s="162"/>
      <c r="CY368" s="162"/>
      <c r="CZ368" s="162"/>
      <c r="DA368" s="162"/>
      <c r="DB368" s="162"/>
      <c r="DC368" s="162"/>
      <c r="DD368" s="162"/>
      <c r="DE368" s="162"/>
      <c r="DF368" s="162"/>
      <c r="DG368" s="162"/>
      <c r="DH368" s="162"/>
      <c r="DI368" s="162"/>
      <c r="DJ368" s="162"/>
      <c r="DK368" s="162"/>
      <c r="DL368" s="162"/>
      <c r="DM368" s="162"/>
      <c r="DN368" s="162"/>
      <c r="DO368" s="162"/>
      <c r="DP368" s="162"/>
      <c r="DQ368" s="162"/>
      <c r="DR368" s="162"/>
      <c r="DS368" s="162"/>
      <c r="DT368" s="162"/>
      <c r="DU368" s="162"/>
      <c r="DV368" s="162"/>
      <c r="DW368" s="162"/>
      <c r="DX368" s="162"/>
      <c r="DY368" s="162"/>
      <c r="DZ368" s="162"/>
      <c r="EA368" s="162"/>
      <c r="EB368" s="162"/>
      <c r="EC368" s="162"/>
      <c r="ED368" s="162"/>
      <c r="EE368" s="162"/>
      <c r="EF368" s="162"/>
      <c r="EG368" s="162"/>
      <c r="EH368" s="162"/>
      <c r="EI368" s="162"/>
      <c r="EJ368" s="162"/>
      <c r="EK368" s="162"/>
      <c r="EL368" s="162"/>
      <c r="EM368" s="162"/>
      <c r="EN368" s="162"/>
      <c r="EO368" s="162"/>
      <c r="EP368" s="162"/>
      <c r="EQ368" s="162"/>
      <c r="ER368" s="162"/>
      <c r="ES368" s="162"/>
      <c r="ET368" s="162"/>
      <c r="EU368" s="162"/>
      <c r="EV368" s="162"/>
      <c r="EW368" s="162"/>
      <c r="EX368" s="162"/>
      <c r="EY368" s="162"/>
      <c r="EZ368" s="162"/>
      <c r="FA368" s="162"/>
      <c r="FB368" s="162"/>
      <c r="FC368" s="162"/>
      <c r="FD368" s="162"/>
      <c r="FE368" s="162"/>
      <c r="FF368" s="162"/>
      <c r="FG368" s="162"/>
      <c r="FH368" s="162"/>
      <c r="FI368" s="162"/>
      <c r="FJ368" s="162"/>
      <c r="FK368" s="162"/>
      <c r="FL368" s="162"/>
      <c r="FM368" s="162"/>
      <c r="FN368" s="162"/>
      <c r="FO368" s="162"/>
      <c r="FP368" s="162"/>
      <c r="FQ368" s="162"/>
      <c r="FR368" s="162"/>
      <c r="FS368" s="162"/>
      <c r="FT368" s="162"/>
      <c r="FU368" s="162"/>
      <c r="FV368" s="162"/>
      <c r="FW368" s="162"/>
      <c r="FX368" s="162"/>
      <c r="FY368" s="162"/>
      <c r="FZ368" s="162"/>
      <c r="GA368" s="162"/>
      <c r="GB368" s="162"/>
      <c r="GC368" s="162"/>
      <c r="GD368" s="162"/>
      <c r="GE368" s="162"/>
      <c r="GF368" s="162"/>
      <c r="GG368" s="162"/>
      <c r="GH368" s="162"/>
      <c r="GI368" s="162"/>
      <c r="GJ368" s="162"/>
      <c r="GK368" s="162"/>
      <c r="GL368" s="162"/>
      <c r="GM368" s="162"/>
      <c r="GN368" s="162"/>
      <c r="GO368" s="162"/>
      <c r="GP368" s="162"/>
      <c r="GQ368" s="162"/>
      <c r="GR368" s="162"/>
      <c r="GS368" s="162"/>
      <c r="GT368" s="162"/>
      <c r="GU368" s="162"/>
      <c r="GV368" s="162"/>
      <c r="GW368" s="162"/>
      <c r="GX368" s="162"/>
      <c r="GY368" s="162"/>
      <c r="GZ368" s="162"/>
      <c r="HA368" s="162"/>
      <c r="HB368" s="162"/>
      <c r="HC368" s="162"/>
      <c r="HD368" s="162"/>
      <c r="HE368" s="162"/>
      <c r="HF368" s="162"/>
      <c r="HG368" s="162"/>
      <c r="HH368" s="162"/>
      <c r="HI368" s="162"/>
      <c r="HJ368" s="162"/>
      <c r="HK368" s="162"/>
      <c r="HL368" s="162"/>
      <c r="HM368" s="162"/>
      <c r="HN368" s="162"/>
      <c r="HO368" s="162"/>
      <c r="HP368" s="162"/>
      <c r="HQ368" s="162"/>
      <c r="HR368" s="162"/>
      <c r="HS368" s="162"/>
      <c r="HT368" s="162"/>
      <c r="HU368" s="162"/>
      <c r="HV368" s="162"/>
      <c r="HW368" s="162"/>
      <c r="HX368" s="162"/>
      <c r="HY368" s="162"/>
      <c r="HZ368" s="162"/>
      <c r="IA368" s="162"/>
      <c r="IB368" s="162"/>
      <c r="IC368" s="162"/>
      <c r="ID368" s="162"/>
      <c r="IE368" s="162"/>
      <c r="IF368" s="162"/>
      <c r="IG368" s="162"/>
      <c r="IH368" s="162"/>
      <c r="II368" s="162"/>
      <c r="IJ368" s="162"/>
      <c r="IK368" s="162"/>
      <c r="IL368" s="162"/>
      <c r="IM368" s="162"/>
    </row>
    <row r="369" spans="1:51" s="4" customFormat="1" ht="78" customHeight="1" x14ac:dyDescent="0.3">
      <c r="A369" s="89">
        <v>1</v>
      </c>
      <c r="B369" s="123" t="s">
        <v>665</v>
      </c>
      <c r="C369" s="91" t="s">
        <v>666</v>
      </c>
      <c r="D369" s="145">
        <v>2019</v>
      </c>
      <c r="E369" s="146">
        <v>2021</v>
      </c>
      <c r="F369" s="93" t="s">
        <v>667</v>
      </c>
      <c r="G369" s="97">
        <v>7700</v>
      </c>
      <c r="H369" s="97"/>
      <c r="I369" s="97">
        <v>7700</v>
      </c>
      <c r="J369" s="97"/>
      <c r="K369" s="148">
        <v>7553</v>
      </c>
      <c r="L369" s="97">
        <f>M369+N369+O369</f>
        <v>6860</v>
      </c>
      <c r="M369" s="97"/>
      <c r="N369" s="97">
        <v>6860</v>
      </c>
      <c r="O369" s="97"/>
      <c r="P369" s="97">
        <f>K369-L369</f>
        <v>693</v>
      </c>
      <c r="Q369" s="97"/>
      <c r="R369" s="97">
        <f>K369-N369</f>
        <v>693</v>
      </c>
      <c r="S369" s="97"/>
      <c r="T369" s="148">
        <v>0</v>
      </c>
      <c r="U369" s="22">
        <f>V369+W369+X369+Y369</f>
        <v>378</v>
      </c>
      <c r="V369" s="22"/>
      <c r="W369" s="22"/>
      <c r="X369" s="22">
        <v>378</v>
      </c>
      <c r="Y369" s="22"/>
      <c r="Z369" s="22"/>
      <c r="AA369" s="22"/>
      <c r="AB369" s="97">
        <f>P369-U369</f>
        <v>315</v>
      </c>
      <c r="AC369" s="97"/>
      <c r="AD369" s="97">
        <f>AB369</f>
        <v>315</v>
      </c>
      <c r="AE369" s="97"/>
      <c r="AF369" s="175"/>
      <c r="AG369" s="175">
        <v>7553</v>
      </c>
      <c r="AH369" s="191">
        <f>L369+U369</f>
        <v>7238</v>
      </c>
      <c r="AI369" s="191"/>
      <c r="AJ369" s="191">
        <f>AH369</f>
        <v>7238</v>
      </c>
      <c r="AK369" s="191"/>
      <c r="AL369" s="191">
        <f>AG369-AH369</f>
        <v>315</v>
      </c>
      <c r="AM369" s="175"/>
      <c r="AN369" s="175">
        <f>AL369</f>
        <v>315</v>
      </c>
      <c r="AO369" s="175"/>
      <c r="AP369" s="166"/>
      <c r="AQ369" s="166"/>
      <c r="AR369" s="3"/>
      <c r="AS369" s="3"/>
      <c r="AT369" s="3"/>
      <c r="AU369" s="3"/>
      <c r="AV369" s="3"/>
      <c r="AW369" s="3"/>
      <c r="AX369" s="3"/>
      <c r="AY369" s="3"/>
    </row>
    <row r="370" spans="1:51" s="4" customFormat="1" ht="78" customHeight="1" x14ac:dyDescent="0.3">
      <c r="A370" s="89">
        <v>2</v>
      </c>
      <c r="B370" s="123" t="s">
        <v>668</v>
      </c>
      <c r="C370" s="91" t="s">
        <v>666</v>
      </c>
      <c r="D370" s="145">
        <v>2020</v>
      </c>
      <c r="E370" s="146">
        <v>2022</v>
      </c>
      <c r="F370" s="93" t="s">
        <v>669</v>
      </c>
      <c r="G370" s="97">
        <f>I370</f>
        <v>1196</v>
      </c>
      <c r="H370" s="97"/>
      <c r="I370" s="97">
        <v>1196</v>
      </c>
      <c r="J370" s="97"/>
      <c r="K370" s="148">
        <v>1191</v>
      </c>
      <c r="L370" s="97">
        <f t="shared" ref="L370:L372" si="221">M370+N370+O370</f>
        <v>958</v>
      </c>
      <c r="M370" s="97"/>
      <c r="N370" s="97">
        <v>958</v>
      </c>
      <c r="O370" s="97"/>
      <c r="P370" s="97">
        <f>K370-L370</f>
        <v>233</v>
      </c>
      <c r="Q370" s="97"/>
      <c r="R370" s="97">
        <f>K370-N370</f>
        <v>233</v>
      </c>
      <c r="S370" s="97"/>
      <c r="T370" s="148">
        <v>0</v>
      </c>
      <c r="U370" s="22">
        <f t="shared" ref="U370:U372" si="222">V370+W370+X370+Y370</f>
        <v>107</v>
      </c>
      <c r="V370" s="22"/>
      <c r="W370" s="22"/>
      <c r="X370" s="22">
        <v>107</v>
      </c>
      <c r="Y370" s="22"/>
      <c r="Z370" s="22"/>
      <c r="AA370" s="22"/>
      <c r="AB370" s="97">
        <f>P370-U370</f>
        <v>126</v>
      </c>
      <c r="AC370" s="97"/>
      <c r="AD370" s="97">
        <f>AB370</f>
        <v>126</v>
      </c>
      <c r="AE370" s="97"/>
      <c r="AF370" s="175"/>
      <c r="AG370" s="175">
        <f>K370</f>
        <v>1191</v>
      </c>
      <c r="AH370" s="191">
        <f>L370+U370</f>
        <v>1065</v>
      </c>
      <c r="AI370" s="191"/>
      <c r="AJ370" s="191">
        <f>AH370</f>
        <v>1065</v>
      </c>
      <c r="AK370" s="191"/>
      <c r="AL370" s="191">
        <f>AG370-AH370</f>
        <v>126</v>
      </c>
      <c r="AM370" s="175"/>
      <c r="AN370" s="175">
        <f>AL370</f>
        <v>126</v>
      </c>
      <c r="AO370" s="175"/>
      <c r="AP370" s="166"/>
      <c r="AQ370" s="166"/>
      <c r="AR370" s="3"/>
      <c r="AS370" s="3"/>
      <c r="AT370" s="3"/>
      <c r="AU370" s="3"/>
      <c r="AV370" s="3"/>
      <c r="AW370" s="3"/>
      <c r="AX370" s="3"/>
      <c r="AY370" s="3"/>
    </row>
    <row r="371" spans="1:51" s="4" customFormat="1" ht="78" customHeight="1" x14ac:dyDescent="0.3">
      <c r="A371" s="89">
        <v>3</v>
      </c>
      <c r="B371" s="123" t="s">
        <v>670</v>
      </c>
      <c r="C371" s="91" t="s">
        <v>666</v>
      </c>
      <c r="D371" s="145">
        <v>2021</v>
      </c>
      <c r="E371" s="146">
        <v>2023</v>
      </c>
      <c r="F371" s="93" t="s">
        <v>671</v>
      </c>
      <c r="G371" s="97">
        <f>I371+H371+J371</f>
        <v>1229</v>
      </c>
      <c r="H371" s="97"/>
      <c r="I371" s="97">
        <v>1229</v>
      </c>
      <c r="J371" s="97"/>
      <c r="K371" s="148">
        <v>693</v>
      </c>
      <c r="L371" s="97">
        <f t="shared" si="221"/>
        <v>620</v>
      </c>
      <c r="M371" s="97"/>
      <c r="N371" s="97">
        <v>620</v>
      </c>
      <c r="O371" s="97"/>
      <c r="P371" s="97">
        <f>K371-L371</f>
        <v>73</v>
      </c>
      <c r="Q371" s="97"/>
      <c r="R371" s="97">
        <f>K371-N371</f>
        <v>73</v>
      </c>
      <c r="S371" s="97"/>
      <c r="T371" s="148">
        <v>0</v>
      </c>
      <c r="U371" s="22">
        <f t="shared" si="222"/>
        <v>100</v>
      </c>
      <c r="V371" s="22"/>
      <c r="W371" s="22"/>
      <c r="X371" s="22">
        <v>73</v>
      </c>
      <c r="Y371" s="22">
        <v>27</v>
      </c>
      <c r="Z371" s="22"/>
      <c r="AA371" s="22"/>
      <c r="AB371" s="97"/>
      <c r="AC371" s="97"/>
      <c r="AD371" s="97"/>
      <c r="AE371" s="97"/>
      <c r="AF371" s="175">
        <v>693</v>
      </c>
      <c r="AG371" s="175"/>
      <c r="AH371" s="191">
        <f>L371+U371</f>
        <v>720</v>
      </c>
      <c r="AI371" s="191"/>
      <c r="AJ371" s="191">
        <f>AH371</f>
        <v>720</v>
      </c>
      <c r="AK371" s="191"/>
      <c r="AL371" s="191">
        <f>G371-AH371</f>
        <v>509</v>
      </c>
      <c r="AM371" s="175"/>
      <c r="AN371" s="175">
        <f>I371-720</f>
        <v>509</v>
      </c>
      <c r="AO371" s="175"/>
      <c r="AP371" s="166"/>
      <c r="AQ371" s="166"/>
      <c r="AR371" s="3"/>
      <c r="AS371" s="3"/>
      <c r="AT371" s="3"/>
      <c r="AU371" s="3"/>
      <c r="AV371" s="3"/>
      <c r="AW371" s="3"/>
      <c r="AX371" s="3"/>
      <c r="AY371" s="3"/>
    </row>
    <row r="372" spans="1:51" s="4" customFormat="1" ht="78" customHeight="1" x14ac:dyDescent="0.3">
      <c r="A372" s="89">
        <v>4</v>
      </c>
      <c r="B372" s="123" t="s">
        <v>672</v>
      </c>
      <c r="C372" s="91" t="s">
        <v>666</v>
      </c>
      <c r="D372" s="145">
        <v>2021</v>
      </c>
      <c r="E372" s="146">
        <v>2023</v>
      </c>
      <c r="F372" s="93" t="s">
        <v>673</v>
      </c>
      <c r="G372" s="97">
        <f>I372+H372+J372</f>
        <v>950</v>
      </c>
      <c r="H372" s="97"/>
      <c r="I372" s="97">
        <v>950</v>
      </c>
      <c r="J372" s="97"/>
      <c r="K372" s="148">
        <v>715</v>
      </c>
      <c r="L372" s="97">
        <f t="shared" si="221"/>
        <v>700</v>
      </c>
      <c r="M372" s="97"/>
      <c r="N372" s="97">
        <v>700</v>
      </c>
      <c r="O372" s="97"/>
      <c r="P372" s="97">
        <f>K372-L372</f>
        <v>15</v>
      </c>
      <c r="Q372" s="97"/>
      <c r="R372" s="97">
        <v>15</v>
      </c>
      <c r="S372" s="97"/>
      <c r="T372" s="148">
        <v>0</v>
      </c>
      <c r="U372" s="22">
        <f t="shared" si="222"/>
        <v>115</v>
      </c>
      <c r="V372" s="22"/>
      <c r="W372" s="22"/>
      <c r="X372" s="22">
        <v>15</v>
      </c>
      <c r="Y372" s="22">
        <f>25+75</f>
        <v>100</v>
      </c>
      <c r="Z372" s="22"/>
      <c r="AA372" s="22"/>
      <c r="AB372" s="97"/>
      <c r="AC372" s="97"/>
      <c r="AD372" s="97"/>
      <c r="AE372" s="97"/>
      <c r="AF372" s="175">
        <v>715</v>
      </c>
      <c r="AG372" s="175"/>
      <c r="AH372" s="191">
        <f>L372+U372</f>
        <v>815</v>
      </c>
      <c r="AI372" s="191"/>
      <c r="AJ372" s="191">
        <f>AH372</f>
        <v>815</v>
      </c>
      <c r="AK372" s="191"/>
      <c r="AL372" s="191">
        <f>G372-AH372</f>
        <v>135</v>
      </c>
      <c r="AM372" s="175"/>
      <c r="AN372" s="175">
        <f>AL372</f>
        <v>135</v>
      </c>
      <c r="AO372" s="175"/>
      <c r="AP372" s="166"/>
      <c r="AQ372" s="166"/>
      <c r="AR372" s="3"/>
      <c r="AS372" s="3"/>
      <c r="AT372" s="3"/>
      <c r="AU372" s="3"/>
      <c r="AV372" s="3"/>
      <c r="AW372" s="3"/>
      <c r="AX372" s="3"/>
      <c r="AY372" s="3"/>
    </row>
  </sheetData>
  <mergeCells count="55">
    <mergeCell ref="AG6:AG9"/>
    <mergeCell ref="AF6:AF9"/>
    <mergeCell ref="AM7:AO7"/>
    <mergeCell ref="AL7:AL9"/>
    <mergeCell ref="AI7:AK7"/>
    <mergeCell ref="AH7:AH9"/>
    <mergeCell ref="AL6:AO6"/>
    <mergeCell ref="AH6:AK6"/>
    <mergeCell ref="AM8:AM9"/>
    <mergeCell ref="AN8:AN9"/>
    <mergeCell ref="AO8:AO9"/>
    <mergeCell ref="AK8:AK9"/>
    <mergeCell ref="AJ8:AJ9"/>
    <mergeCell ref="AI8:AI9"/>
    <mergeCell ref="AD8:AD9"/>
    <mergeCell ref="H8:J8"/>
    <mergeCell ref="M8:M9"/>
    <mergeCell ref="N8:N9"/>
    <mergeCell ref="O8:O9"/>
    <mergeCell ref="Q8:Q9"/>
    <mergeCell ref="R8:R9"/>
    <mergeCell ref="AB7:AB9"/>
    <mergeCell ref="AC7:AE7"/>
    <mergeCell ref="AE8:AE9"/>
    <mergeCell ref="S8:S9"/>
    <mergeCell ref="V8:W8"/>
    <mergeCell ref="X8:Y8"/>
    <mergeCell ref="Z8:AA8"/>
    <mergeCell ref="AC8:AC9"/>
    <mergeCell ref="AB6:AE6"/>
    <mergeCell ref="F7:F9"/>
    <mergeCell ref="G7:J7"/>
    <mergeCell ref="L7:L9"/>
    <mergeCell ref="M7:O7"/>
    <mergeCell ref="P7:P9"/>
    <mergeCell ref="F6:J6"/>
    <mergeCell ref="K6:K9"/>
    <mergeCell ref="L6:O6"/>
    <mergeCell ref="P6:S6"/>
    <mergeCell ref="T6:T9"/>
    <mergeCell ref="U6:AA6"/>
    <mergeCell ref="Q7:S7"/>
    <mergeCell ref="U7:U9"/>
    <mergeCell ref="V7:AA7"/>
    <mergeCell ref="G8:G9"/>
    <mergeCell ref="A1:E1"/>
    <mergeCell ref="G1:AM1"/>
    <mergeCell ref="A2:E2"/>
    <mergeCell ref="J2:AK2"/>
    <mergeCell ref="A4:AO4"/>
    <mergeCell ref="A6:A9"/>
    <mergeCell ref="B6:B9"/>
    <mergeCell ref="C6:C9"/>
    <mergeCell ref="D6:D9"/>
    <mergeCell ref="E6:E9"/>
  </mergeCells>
  <pageMargins left="0.56999999999999995" right="0.16" top="0.27" bottom="0.3" header="0.38" footer="0.3"/>
  <pageSetup paperSize="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NỢ NGUỒN TX QL ĐẾN 31 10 2024</vt:lpstr>
      <vt:lpstr>'NỢ NGUỒN TX QL ĐẾN 31 10 2024'!Print_Titles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 COMPUTER</dc:creator>
  <cp:lastModifiedBy>HOANG ANH</cp:lastModifiedBy>
  <dcterms:created xsi:type="dcterms:W3CDTF">2024-11-03T03:13:19Z</dcterms:created>
  <dcterms:modified xsi:type="dcterms:W3CDTF">2024-12-04T09:28:49Z</dcterms:modified>
</cp:coreProperties>
</file>